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5. CRIEM\Lap FS\Tham dinh kha nang vay\CRIEM\"/>
    </mc:Choice>
  </mc:AlternateContent>
  <bookViews>
    <workbookView xWindow="270" yWindow="660" windowWidth="8220" windowHeight="2145" firstSheet="5" activeTab="7"/>
  </bookViews>
  <sheets>
    <sheet name="foxz" sheetId="2" state="veryHidden" r:id="rId1"/>
    <sheet name="PL 01" sheetId="1" state="hidden" r:id="rId2"/>
    <sheet name="PL 02" sheetId="3" state="hidden" r:id="rId3"/>
    <sheet name="PL 03 Trinh STC" sheetId="4" state="hidden" r:id="rId4"/>
    <sheet name="PA Rut von" sheetId="5" state="hidden" r:id="rId5"/>
    <sheet name="PL 01 STC" sheetId="12" r:id="rId6"/>
    <sheet name="PL 02 -STC" sheetId="13" r:id="rId7"/>
    <sheet name="PL 03 - ADB tha noi In" sheetId="10" r:id="rId8"/>
    <sheet name="Sheet1" sheetId="14" r:id="rId9"/>
    <sheet name="PL 03 - ADB co dinh In" sheetId="11" state="hidden" r:id="rId10"/>
    <sheet name="Sheet2" sheetId="7" state="hidden" r:id="rId11"/>
    <sheet name="Sheet2 (2)" sheetId="8" state="hidden" r:id="rId12"/>
    <sheet name="Sheet4" sheetId="9" state="hidden" r:id="rId13"/>
  </sheets>
  <externalReferences>
    <externalReference r:id="rId14"/>
  </externalReferences>
  <definedNames>
    <definedName name="_xlnm.Print_Area" localSheetId="1">'PL 01'!$A$1:$H$27</definedName>
    <definedName name="_xlnm.Print_Area" localSheetId="5">'PL 01 STC'!$A$2:$K$26</definedName>
    <definedName name="_xlnm.Print_Area" localSheetId="2">'PL 02'!$A$1:$F$16</definedName>
    <definedName name="_xlnm.Print_Area" localSheetId="6">'PL 02 -STC'!$A$3:$F$10</definedName>
    <definedName name="_xlnm.Print_Area" localSheetId="9">'PL 03 - ADB co dinh In'!$A$3:$T$69</definedName>
    <definedName name="_xlnm.Print_Area" localSheetId="7">'PL 03 - ADB tha noi In'!$A$3:$T$70</definedName>
    <definedName name="_xlnm.Print_Area" localSheetId="3">'PL 03 Trinh STC'!$A$1:$P$62</definedName>
    <definedName name="_xlnm.Print_Titles" localSheetId="5">'PL 01 STC'!$6:$7</definedName>
    <definedName name="_xlnm.Print_Titles" localSheetId="9">'PL 03 - ADB co dinh In'!$8:$8</definedName>
    <definedName name="_xlnm.Print_Titles" localSheetId="7">'PL 03 - ADB tha noi In'!$8:$8</definedName>
    <definedName name="_xlnm.Print_Titles" localSheetId="3">'PL 03 Trinh STC'!$7:$7</definedName>
  </definedNames>
  <calcPr calcId="152511"/>
</workbook>
</file>

<file path=xl/calcChain.xml><?xml version="1.0" encoding="utf-8"?>
<calcChain xmlns="http://schemas.openxmlformats.org/spreadsheetml/2006/main">
  <c r="A6" i="10" l="1"/>
  <c r="Y63" i="10" l="1"/>
  <c r="X63" i="10"/>
  <c r="Y62" i="10"/>
  <c r="X62" i="10"/>
  <c r="X61" i="10"/>
  <c r="Y61" i="10" s="1"/>
  <c r="Y24" i="10"/>
  <c r="X24" i="10"/>
  <c r="Y13" i="10"/>
  <c r="Y11" i="10"/>
  <c r="X13" i="10"/>
  <c r="X11" i="10"/>
  <c r="W13" i="10"/>
  <c r="W14" i="10" s="1"/>
  <c r="W19" i="10"/>
  <c r="V14" i="10"/>
  <c r="V13" i="10"/>
  <c r="W11" i="10"/>
  <c r="V12" i="10"/>
  <c r="V11" i="10"/>
  <c r="AB19" i="10" l="1"/>
  <c r="AB18" i="10"/>
  <c r="AA18" i="10"/>
  <c r="AB17" i="10"/>
  <c r="AB16" i="10"/>
  <c r="AB15" i="10"/>
  <c r="AB14" i="10"/>
  <c r="AA15" i="10"/>
  <c r="AA14" i="10"/>
  <c r="G13" i="10" l="1"/>
  <c r="G12" i="10"/>
  <c r="G11" i="10"/>
  <c r="F11" i="10"/>
  <c r="E14" i="10"/>
  <c r="E13" i="10"/>
  <c r="E12" i="10"/>
  <c r="AF20" i="10"/>
  <c r="AF19" i="10"/>
  <c r="D15" i="12" l="1"/>
  <c r="F15" i="12"/>
  <c r="G15" i="12"/>
  <c r="H15" i="12"/>
  <c r="I15" i="12"/>
  <c r="C15" i="12"/>
  <c r="H32" i="14" l="1"/>
  <c r="H29" i="14"/>
  <c r="AC21" i="10" l="1"/>
  <c r="AC20" i="10"/>
  <c r="AC22" i="10" s="1"/>
  <c r="J17" i="12"/>
  <c r="J18" i="12"/>
  <c r="J16" i="12"/>
  <c r="J15" i="12" s="1"/>
  <c r="J23" i="12"/>
  <c r="J21" i="12"/>
  <c r="E17" i="12"/>
  <c r="E15" i="12" s="1"/>
  <c r="E23" i="12"/>
  <c r="E21" i="12"/>
  <c r="J13" i="12"/>
  <c r="J12" i="12" s="1"/>
  <c r="K12" i="12"/>
  <c r="I12" i="12"/>
  <c r="H12" i="12"/>
  <c r="G12" i="12"/>
  <c r="F12" i="12"/>
  <c r="E12" i="12"/>
  <c r="D12" i="12"/>
  <c r="C12" i="12"/>
  <c r="A5" i="13" l="1"/>
  <c r="A4" i="12"/>
  <c r="F10" i="13"/>
  <c r="E10" i="13"/>
  <c r="D10" i="13"/>
  <c r="C10" i="13"/>
  <c r="A1" i="13"/>
  <c r="K20" i="12"/>
  <c r="K17" i="12"/>
  <c r="K19" i="12"/>
  <c r="K18" i="12"/>
  <c r="K16" i="12"/>
  <c r="K23" i="12"/>
  <c r="K22" i="12"/>
  <c r="K21" i="12"/>
  <c r="J9" i="12"/>
  <c r="I9" i="12"/>
  <c r="H9" i="12"/>
  <c r="G9" i="12"/>
  <c r="F9" i="12"/>
  <c r="E9" i="12"/>
  <c r="D9" i="12"/>
  <c r="C9" i="12"/>
  <c r="K15" i="12" l="1"/>
  <c r="K9" i="12" s="1"/>
  <c r="E62" i="11"/>
  <c r="N24" i="11"/>
  <c r="N25" i="11" s="1"/>
  <c r="N26" i="11" s="1"/>
  <c r="N27" i="11" s="1"/>
  <c r="N28" i="11" s="1"/>
  <c r="N29" i="11" s="1"/>
  <c r="N30" i="11" s="1"/>
  <c r="N31" i="11" s="1"/>
  <c r="N32" i="11" s="1"/>
  <c r="N33" i="11" s="1"/>
  <c r="N34" i="11" s="1"/>
  <c r="N35" i="11" s="1"/>
  <c r="N36" i="11" s="1"/>
  <c r="N37" i="11" s="1"/>
  <c r="N38" i="11" s="1"/>
  <c r="N39" i="11" s="1"/>
  <c r="N40" i="11" s="1"/>
  <c r="N41" i="11" s="1"/>
  <c r="N42" i="11" s="1"/>
  <c r="N43" i="11" s="1"/>
  <c r="N44" i="11" s="1"/>
  <c r="N45" i="11" s="1"/>
  <c r="N46" i="11" s="1"/>
  <c r="N47" i="11" s="1"/>
  <c r="N48" i="11" s="1"/>
  <c r="N49" i="11" s="1"/>
  <c r="N50" i="11" s="1"/>
  <c r="N51" i="11" s="1"/>
  <c r="N52" i="11" s="1"/>
  <c r="N53" i="11" s="1"/>
  <c r="N54" i="11" s="1"/>
  <c r="N55" i="11" s="1"/>
  <c r="N56" i="11" s="1"/>
  <c r="N57" i="11" s="1"/>
  <c r="N58" i="11" s="1"/>
  <c r="N59" i="11" s="1"/>
  <c r="N60" i="11" s="1"/>
  <c r="N61" i="11" s="1"/>
  <c r="L24" i="11"/>
  <c r="L25" i="11" s="1"/>
  <c r="L26" i="11" s="1"/>
  <c r="L27" i="11" s="1"/>
  <c r="L28" i="11" s="1"/>
  <c r="L29" i="11" s="1"/>
  <c r="L30" i="11" s="1"/>
  <c r="L31" i="11" s="1"/>
  <c r="L32" i="11" s="1"/>
  <c r="L33" i="11" s="1"/>
  <c r="L34" i="11" s="1"/>
  <c r="L35" i="11" s="1"/>
  <c r="L36" i="11" s="1"/>
  <c r="L37" i="11" s="1"/>
  <c r="L38" i="11" s="1"/>
  <c r="L39" i="11" s="1"/>
  <c r="L40" i="11" s="1"/>
  <c r="L41" i="11" s="1"/>
  <c r="L42" i="11" s="1"/>
  <c r="L43" i="11" s="1"/>
  <c r="L44" i="11" s="1"/>
  <c r="L45" i="11" s="1"/>
  <c r="L46" i="11" s="1"/>
  <c r="L47" i="11" s="1"/>
  <c r="L48" i="11" s="1"/>
  <c r="L49" i="11" s="1"/>
  <c r="L50" i="11" s="1"/>
  <c r="L51" i="11" s="1"/>
  <c r="L52" i="11" s="1"/>
  <c r="L53" i="11" s="1"/>
  <c r="L54" i="11" s="1"/>
  <c r="L55" i="11" s="1"/>
  <c r="L56" i="11" s="1"/>
  <c r="L57" i="11" s="1"/>
  <c r="L58" i="11" s="1"/>
  <c r="L59" i="11" s="1"/>
  <c r="L60" i="11" s="1"/>
  <c r="L61" i="11" s="1"/>
  <c r="K24" i="11"/>
  <c r="K25" i="11" s="1"/>
  <c r="K26" i="11" s="1"/>
  <c r="K27" i="11" s="1"/>
  <c r="K28" i="11" s="1"/>
  <c r="K29" i="11" s="1"/>
  <c r="K30" i="11" s="1"/>
  <c r="K31" i="11" s="1"/>
  <c r="K32" i="11" s="1"/>
  <c r="K33" i="11" s="1"/>
  <c r="K34" i="11" s="1"/>
  <c r="K35" i="11" s="1"/>
  <c r="K36" i="11" s="1"/>
  <c r="K37" i="11" s="1"/>
  <c r="K38" i="11" s="1"/>
  <c r="K39" i="11" s="1"/>
  <c r="K40" i="11" s="1"/>
  <c r="K41" i="11" s="1"/>
  <c r="K42" i="11" s="1"/>
  <c r="K43" i="11" s="1"/>
  <c r="K44" i="11" s="1"/>
  <c r="K45" i="11" s="1"/>
  <c r="K46" i="11" s="1"/>
  <c r="K47" i="11" s="1"/>
  <c r="K48" i="11" s="1"/>
  <c r="K49" i="11" s="1"/>
  <c r="K50" i="11" s="1"/>
  <c r="K51" i="11" s="1"/>
  <c r="K52" i="11" s="1"/>
  <c r="K53" i="11" s="1"/>
  <c r="K54" i="11" s="1"/>
  <c r="K55" i="11" s="1"/>
  <c r="K56" i="11" s="1"/>
  <c r="K57" i="11" s="1"/>
  <c r="K58" i="11" s="1"/>
  <c r="K59" i="11" s="1"/>
  <c r="K60" i="11" s="1"/>
  <c r="K61" i="11" s="1"/>
  <c r="J24" i="11"/>
  <c r="J25" i="11" s="1"/>
  <c r="J26" i="11" s="1"/>
  <c r="J27" i="11" s="1"/>
  <c r="J28" i="11" s="1"/>
  <c r="J29" i="11" s="1"/>
  <c r="J30" i="11" s="1"/>
  <c r="J31" i="11" s="1"/>
  <c r="J32" i="11" s="1"/>
  <c r="J33" i="11" s="1"/>
  <c r="J34" i="11" s="1"/>
  <c r="J35" i="11" s="1"/>
  <c r="J36" i="11" s="1"/>
  <c r="J37" i="11" s="1"/>
  <c r="J38" i="11" s="1"/>
  <c r="J39" i="11" s="1"/>
  <c r="J40" i="11" s="1"/>
  <c r="J41" i="11" s="1"/>
  <c r="J42" i="11" s="1"/>
  <c r="J43" i="11" s="1"/>
  <c r="J44" i="11" s="1"/>
  <c r="J45" i="11" s="1"/>
  <c r="J46" i="11" s="1"/>
  <c r="J47" i="11" s="1"/>
  <c r="J48" i="11" s="1"/>
  <c r="J49" i="11" s="1"/>
  <c r="J50" i="11" s="1"/>
  <c r="J51" i="11" s="1"/>
  <c r="J52" i="11" s="1"/>
  <c r="J53" i="11" s="1"/>
  <c r="J54" i="11" s="1"/>
  <c r="J55" i="11" s="1"/>
  <c r="J56" i="11" s="1"/>
  <c r="J57" i="11" s="1"/>
  <c r="J58" i="11" s="1"/>
  <c r="J59" i="11" s="1"/>
  <c r="J60" i="11" s="1"/>
  <c r="J61" i="11" s="1"/>
  <c r="H24" i="11"/>
  <c r="G16" i="11"/>
  <c r="G15" i="11"/>
  <c r="G14" i="11"/>
  <c r="G13" i="11"/>
  <c r="I12" i="11"/>
  <c r="M12" i="11" s="1"/>
  <c r="G12" i="11"/>
  <c r="F12" i="11"/>
  <c r="F13" i="11" s="1"/>
  <c r="A12" i="11"/>
  <c r="A13" i="11" s="1"/>
  <c r="A14" i="11" s="1"/>
  <c r="A15" i="11" s="1"/>
  <c r="A16" i="11" s="1"/>
  <c r="A17" i="11" s="1"/>
  <c r="A18" i="11" s="1"/>
  <c r="A19" i="11" s="1"/>
  <c r="A20" i="11" s="1"/>
  <c r="A21" i="11" s="1"/>
  <c r="A22"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M11" i="11"/>
  <c r="G11" i="11"/>
  <c r="C11" i="11"/>
  <c r="B9" i="11"/>
  <c r="C9" i="11" s="1"/>
  <c r="D9" i="11" s="1"/>
  <c r="E9" i="11" s="1"/>
  <c r="F9" i="11" s="1"/>
  <c r="G9" i="11" s="1"/>
  <c r="H9" i="11" s="1"/>
  <c r="I9" i="11" s="1"/>
  <c r="J9" i="11" s="1"/>
  <c r="K9" i="11" s="1"/>
  <c r="L9" i="11" s="1"/>
  <c r="N9" i="11" s="1"/>
  <c r="O9" i="11" s="1"/>
  <c r="P9" i="11" s="1"/>
  <c r="I13" i="11" l="1"/>
  <c r="I14" i="11" s="1"/>
  <c r="I15" i="11" s="1"/>
  <c r="D11" i="11"/>
  <c r="B12" i="11"/>
  <c r="C12" i="11" s="1"/>
  <c r="I16" i="11"/>
  <c r="M15" i="11"/>
  <c r="M14" i="11"/>
  <c r="P24" i="11"/>
  <c r="H25" i="11"/>
  <c r="F14" i="11"/>
  <c r="M13" i="11"/>
  <c r="G16" i="10"/>
  <c r="I17" i="11" l="1"/>
  <c r="M16" i="11"/>
  <c r="R11" i="11"/>
  <c r="Q11" i="11"/>
  <c r="S11" i="11"/>
  <c r="F15" i="11"/>
  <c r="H26" i="11"/>
  <c r="P25" i="11"/>
  <c r="B13" i="11"/>
  <c r="C13" i="11" s="1"/>
  <c r="D12" i="11"/>
  <c r="B14" i="11" l="1"/>
  <c r="C14" i="11" s="1"/>
  <c r="D13" i="11"/>
  <c r="F16" i="11"/>
  <c r="H27" i="11"/>
  <c r="P26" i="11"/>
  <c r="M17" i="11"/>
  <c r="I18" i="11"/>
  <c r="Q12" i="11"/>
  <c r="R12" i="11"/>
  <c r="S12" i="11"/>
  <c r="T11" i="11"/>
  <c r="H24" i="10"/>
  <c r="I19" i="11" l="1"/>
  <c r="M18" i="11"/>
  <c r="S13" i="11"/>
  <c r="R13" i="11"/>
  <c r="Q13" i="11"/>
  <c r="H28" i="11"/>
  <c r="P27" i="11"/>
  <c r="F17" i="11"/>
  <c r="B15" i="11"/>
  <c r="C15" i="11" s="1"/>
  <c r="D14" i="11"/>
  <c r="T12" i="11"/>
  <c r="I12" i="10"/>
  <c r="I13" i="10" s="1"/>
  <c r="E62" i="10"/>
  <c r="H25" i="10"/>
  <c r="N24" i="10"/>
  <c r="N25" i="10" s="1"/>
  <c r="N26" i="10" s="1"/>
  <c r="N27" i="10" s="1"/>
  <c r="N28" i="10" s="1"/>
  <c r="N29" i="10" s="1"/>
  <c r="N30" i="10" s="1"/>
  <c r="N31" i="10" s="1"/>
  <c r="N32" i="10" s="1"/>
  <c r="N33" i="10" s="1"/>
  <c r="N34" i="10" s="1"/>
  <c r="N35" i="10" s="1"/>
  <c r="N36" i="10" s="1"/>
  <c r="N37" i="10" s="1"/>
  <c r="N38" i="10" s="1"/>
  <c r="N39" i="10" s="1"/>
  <c r="N40" i="10" s="1"/>
  <c r="N41" i="10" s="1"/>
  <c r="N42" i="10" s="1"/>
  <c r="N43" i="10" s="1"/>
  <c r="N44" i="10" s="1"/>
  <c r="N45" i="10" s="1"/>
  <c r="N46" i="10" s="1"/>
  <c r="N47" i="10" s="1"/>
  <c r="N48" i="10" s="1"/>
  <c r="N49" i="10" s="1"/>
  <c r="N50" i="10" s="1"/>
  <c r="N51" i="10" s="1"/>
  <c r="N52" i="10" s="1"/>
  <c r="N53" i="10" s="1"/>
  <c r="N54" i="10" s="1"/>
  <c r="N55" i="10" s="1"/>
  <c r="N56" i="10" s="1"/>
  <c r="N57" i="10" s="1"/>
  <c r="N58" i="10" s="1"/>
  <c r="N59" i="10" s="1"/>
  <c r="N60" i="10" s="1"/>
  <c r="N61" i="10" s="1"/>
  <c r="L24" i="10"/>
  <c r="L25" i="10" s="1"/>
  <c r="L26" i="10" s="1"/>
  <c r="L27" i="10" s="1"/>
  <c r="L28" i="10" s="1"/>
  <c r="L29" i="10" s="1"/>
  <c r="L30" i="10" s="1"/>
  <c r="L31" i="10" s="1"/>
  <c r="L32" i="10" s="1"/>
  <c r="L33" i="10" s="1"/>
  <c r="L34" i="10" s="1"/>
  <c r="L35" i="10" s="1"/>
  <c r="L36" i="10" s="1"/>
  <c r="L37" i="10" s="1"/>
  <c r="L38" i="10" s="1"/>
  <c r="L39" i="10" s="1"/>
  <c r="L40" i="10" s="1"/>
  <c r="L41" i="10" s="1"/>
  <c r="L42" i="10" s="1"/>
  <c r="L43" i="10" s="1"/>
  <c r="L44" i="10" s="1"/>
  <c r="L45" i="10" s="1"/>
  <c r="L46" i="10" s="1"/>
  <c r="L47" i="10" s="1"/>
  <c r="L48" i="10" s="1"/>
  <c r="L49" i="10" s="1"/>
  <c r="L50" i="10" s="1"/>
  <c r="L51" i="10" s="1"/>
  <c r="L52" i="10" s="1"/>
  <c r="L53" i="10" s="1"/>
  <c r="L54" i="10" s="1"/>
  <c r="L55" i="10" s="1"/>
  <c r="L56" i="10" s="1"/>
  <c r="L57" i="10" s="1"/>
  <c r="L58" i="10" s="1"/>
  <c r="L59" i="10" s="1"/>
  <c r="L60" i="10" s="1"/>
  <c r="L61" i="10" s="1"/>
  <c r="K24" i="10"/>
  <c r="K25" i="10" s="1"/>
  <c r="K26" i="10" s="1"/>
  <c r="K27" i="10" s="1"/>
  <c r="K28" i="10" s="1"/>
  <c r="K29" i="10" s="1"/>
  <c r="K30" i="10" s="1"/>
  <c r="K31" i="10" s="1"/>
  <c r="K32" i="10" s="1"/>
  <c r="K33" i="10" s="1"/>
  <c r="K34" i="10" s="1"/>
  <c r="K35" i="10" s="1"/>
  <c r="K36" i="10" s="1"/>
  <c r="K37" i="10" s="1"/>
  <c r="K38" i="10" s="1"/>
  <c r="K39" i="10" s="1"/>
  <c r="K40" i="10" s="1"/>
  <c r="K41" i="10" s="1"/>
  <c r="K42" i="10" s="1"/>
  <c r="K43" i="10" s="1"/>
  <c r="K44" i="10" s="1"/>
  <c r="K45" i="10" s="1"/>
  <c r="K46" i="10" s="1"/>
  <c r="K47" i="10" s="1"/>
  <c r="K48" i="10" s="1"/>
  <c r="K49" i="10" s="1"/>
  <c r="K50" i="10" s="1"/>
  <c r="K51" i="10" s="1"/>
  <c r="K52" i="10" s="1"/>
  <c r="K53" i="10" s="1"/>
  <c r="K54" i="10" s="1"/>
  <c r="K55" i="10" s="1"/>
  <c r="K56" i="10" s="1"/>
  <c r="K57" i="10" s="1"/>
  <c r="K58" i="10" s="1"/>
  <c r="K59" i="10" s="1"/>
  <c r="K60" i="10" s="1"/>
  <c r="K61" i="10" s="1"/>
  <c r="J24" i="10"/>
  <c r="J25" i="10" s="1"/>
  <c r="J26" i="10" s="1"/>
  <c r="J27" i="10" s="1"/>
  <c r="J28" i="10" s="1"/>
  <c r="J29" i="10" s="1"/>
  <c r="J30" i="10" s="1"/>
  <c r="J31" i="10" s="1"/>
  <c r="J32" i="10" s="1"/>
  <c r="J33" i="10" s="1"/>
  <c r="J34" i="10" s="1"/>
  <c r="J35" i="10" s="1"/>
  <c r="J36" i="10" s="1"/>
  <c r="J37" i="10" s="1"/>
  <c r="J38" i="10" s="1"/>
  <c r="J39" i="10" s="1"/>
  <c r="J40" i="10" s="1"/>
  <c r="J41" i="10" s="1"/>
  <c r="J42" i="10" s="1"/>
  <c r="J43" i="10" s="1"/>
  <c r="J44" i="10" s="1"/>
  <c r="J45" i="10" s="1"/>
  <c r="J46" i="10" s="1"/>
  <c r="J47" i="10" s="1"/>
  <c r="J48" i="10" s="1"/>
  <c r="J49" i="10" s="1"/>
  <c r="J50" i="10" s="1"/>
  <c r="J51" i="10" s="1"/>
  <c r="J52" i="10" s="1"/>
  <c r="J53" i="10" s="1"/>
  <c r="J54" i="10" s="1"/>
  <c r="J55" i="10" s="1"/>
  <c r="J56" i="10" s="1"/>
  <c r="J57" i="10" s="1"/>
  <c r="J58" i="10" s="1"/>
  <c r="J59" i="10" s="1"/>
  <c r="J60" i="10" s="1"/>
  <c r="J61" i="10" s="1"/>
  <c r="G15" i="10"/>
  <c r="G14" i="10"/>
  <c r="F12" i="10"/>
  <c r="A12" i="10"/>
  <c r="A13" i="10" s="1"/>
  <c r="A14" i="10" s="1"/>
  <c r="A15" i="10" s="1"/>
  <c r="A16" i="10" s="1"/>
  <c r="A17" i="10" s="1"/>
  <c r="A18" i="10" s="1"/>
  <c r="A19" i="10" s="1"/>
  <c r="A20" i="10" s="1"/>
  <c r="A21" i="10" s="1"/>
  <c r="A22"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M11" i="10"/>
  <c r="C11" i="10"/>
  <c r="B12" i="10" s="1"/>
  <c r="C12" i="10" s="1"/>
  <c r="B9" i="10"/>
  <c r="C9" i="10" s="1"/>
  <c r="D9" i="10" s="1"/>
  <c r="E9" i="10" s="1"/>
  <c r="F9" i="10" s="1"/>
  <c r="G9" i="10" s="1"/>
  <c r="H9" i="10" s="1"/>
  <c r="I9" i="10" s="1"/>
  <c r="J9" i="10" s="1"/>
  <c r="K9" i="10" s="1"/>
  <c r="L9" i="10" s="1"/>
  <c r="N9" i="10" s="1"/>
  <c r="O9" i="10" s="1"/>
  <c r="P9" i="10" s="1"/>
  <c r="M12" i="10" l="1"/>
  <c r="F18" i="11"/>
  <c r="I20" i="11"/>
  <c r="M19" i="11"/>
  <c r="D15" i="11"/>
  <c r="B16" i="11"/>
  <c r="C16" i="11" s="1"/>
  <c r="P28" i="11"/>
  <c r="H29" i="11"/>
  <c r="T13" i="11"/>
  <c r="S14" i="11"/>
  <c r="R14" i="11"/>
  <c r="Q14" i="11"/>
  <c r="M13" i="10"/>
  <c r="I14" i="10"/>
  <c r="D11" i="10"/>
  <c r="R11" i="10" s="1"/>
  <c r="F13" i="10"/>
  <c r="D12" i="10"/>
  <c r="S12" i="10" s="1"/>
  <c r="B13" i="10"/>
  <c r="C13" i="10" s="1"/>
  <c r="H26" i="10"/>
  <c r="G7" i="9"/>
  <c r="G6" i="9"/>
  <c r="Q12" i="10" l="1"/>
  <c r="Q11" i="10"/>
  <c r="R12" i="10"/>
  <c r="S11" i="10"/>
  <c r="D16" i="11"/>
  <c r="B17" i="11"/>
  <c r="C17" i="11" s="1"/>
  <c r="S15" i="11"/>
  <c r="R15" i="11"/>
  <c r="Q15" i="11"/>
  <c r="T14" i="11"/>
  <c r="P29" i="11"/>
  <c r="H30" i="11"/>
  <c r="M20" i="11"/>
  <c r="I21" i="11"/>
  <c r="F19" i="11"/>
  <c r="M14" i="10"/>
  <c r="I15" i="10"/>
  <c r="H27" i="10"/>
  <c r="D13" i="10"/>
  <c r="S13" i="10" s="1"/>
  <c r="B14" i="10"/>
  <c r="C14" i="10" s="1"/>
  <c r="F14" i="10"/>
  <c r="E60" i="4"/>
  <c r="H6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20" i="4"/>
  <c r="A10" i="4"/>
  <c r="A11" i="4" s="1"/>
  <c r="A12" i="4" s="1"/>
  <c r="A13" i="4" s="1"/>
  <c r="A14" i="4" s="1"/>
  <c r="A15" i="4" s="1"/>
  <c r="A16" i="4" s="1"/>
  <c r="A17" i="4" s="1"/>
  <c r="A18"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G14" i="4"/>
  <c r="G13" i="4"/>
  <c r="G12" i="4"/>
  <c r="G11" i="4"/>
  <c r="G10" i="4"/>
  <c r="G9" i="4"/>
  <c r="F10" i="4"/>
  <c r="C9" i="4"/>
  <c r="B10" i="4" s="1"/>
  <c r="C10" i="4" s="1"/>
  <c r="B11" i="4" s="1"/>
  <c r="C11" i="4" s="1"/>
  <c r="B12" i="4" s="1"/>
  <c r="C12" i="4" s="1"/>
  <c r="B13" i="4" s="1"/>
  <c r="C13" i="4" s="1"/>
  <c r="B14" i="4" s="1"/>
  <c r="C14" i="4" s="1"/>
  <c r="B15" i="4" s="1"/>
  <c r="C15" i="4" s="1"/>
  <c r="B16" i="4" s="1"/>
  <c r="C16" i="4" s="1"/>
  <c r="B17" i="4" s="1"/>
  <c r="C17" i="4" s="1"/>
  <c r="B18" i="4" s="1"/>
  <c r="C18" i="4" s="1"/>
  <c r="B20" i="4" s="1"/>
  <c r="C20" i="4" s="1"/>
  <c r="B21" i="4" s="1"/>
  <c r="C21" i="4" s="1"/>
  <c r="B22" i="4" s="1"/>
  <c r="C22" i="4" s="1"/>
  <c r="B23" i="4" s="1"/>
  <c r="C23" i="4" s="1"/>
  <c r="B24" i="4" s="1"/>
  <c r="C24" i="4" s="1"/>
  <c r="B25" i="4" s="1"/>
  <c r="C25" i="4" s="1"/>
  <c r="B26" i="4" s="1"/>
  <c r="C26" i="4" s="1"/>
  <c r="B27" i="4" s="1"/>
  <c r="C27" i="4" s="1"/>
  <c r="B28" i="4" s="1"/>
  <c r="C28" i="4" s="1"/>
  <c r="B29" i="4" s="1"/>
  <c r="C29" i="4" s="1"/>
  <c r="B30" i="4" s="1"/>
  <c r="C30" i="4" s="1"/>
  <c r="B31" i="4" s="1"/>
  <c r="C31" i="4" s="1"/>
  <c r="B32" i="4" s="1"/>
  <c r="C32" i="4" s="1"/>
  <c r="B33" i="4" s="1"/>
  <c r="C33" i="4" s="1"/>
  <c r="B34" i="4" s="1"/>
  <c r="C34" i="4" s="1"/>
  <c r="B35" i="4" s="1"/>
  <c r="C35" i="4" s="1"/>
  <c r="B36" i="4" s="1"/>
  <c r="C36" i="4" s="1"/>
  <c r="B37" i="4" s="1"/>
  <c r="C37" i="4" s="1"/>
  <c r="B38" i="4" s="1"/>
  <c r="C38" i="4" s="1"/>
  <c r="B39" i="4" s="1"/>
  <c r="C39" i="4" s="1"/>
  <c r="B40" i="4" s="1"/>
  <c r="C40" i="4" s="1"/>
  <c r="B41" i="4" s="1"/>
  <c r="C41" i="4" s="1"/>
  <c r="D41" i="4" s="1"/>
  <c r="Q13" i="10" l="1"/>
  <c r="R13" i="10"/>
  <c r="T12" i="10"/>
  <c r="T11" i="10"/>
  <c r="T15" i="11"/>
  <c r="D17" i="11"/>
  <c r="B18" i="11"/>
  <c r="C18" i="11" s="1"/>
  <c r="M21" i="11"/>
  <c r="I22" i="11"/>
  <c r="H31" i="11"/>
  <c r="P30" i="11"/>
  <c r="F20" i="11"/>
  <c r="S16" i="11"/>
  <c r="R16" i="11"/>
  <c r="Q16" i="11"/>
  <c r="B42" i="4"/>
  <c r="C42" i="4" s="1"/>
  <c r="B43" i="4" s="1"/>
  <c r="C43" i="4" s="1"/>
  <c r="D21" i="4"/>
  <c r="D27" i="4"/>
  <c r="D32" i="4"/>
  <c r="D37" i="4"/>
  <c r="D23" i="4"/>
  <c r="D28" i="4"/>
  <c r="D33" i="4"/>
  <c r="D39" i="4"/>
  <c r="D24" i="4"/>
  <c r="D29" i="4"/>
  <c r="D35" i="4"/>
  <c r="D40" i="4"/>
  <c r="I16" i="10"/>
  <c r="M15" i="10"/>
  <c r="D20" i="4"/>
  <c r="D25" i="4"/>
  <c r="D31" i="4"/>
  <c r="D36" i="4"/>
  <c r="F15" i="10"/>
  <c r="H28" i="10"/>
  <c r="D14" i="10"/>
  <c r="S14" i="10" s="1"/>
  <c r="B15" i="10"/>
  <c r="C15" i="10" s="1"/>
  <c r="N60" i="4"/>
  <c r="S11" i="4"/>
  <c r="D22" i="4"/>
  <c r="D26" i="4"/>
  <c r="D30" i="4"/>
  <c r="D34" i="4"/>
  <c r="D38" i="4"/>
  <c r="D18" i="4"/>
  <c r="D14" i="4"/>
  <c r="D10" i="4"/>
  <c r="O10" i="4" s="1"/>
  <c r="P10" i="4" s="1"/>
  <c r="D17" i="4"/>
  <c r="D13" i="4"/>
  <c r="D16" i="4"/>
  <c r="D12" i="4"/>
  <c r="F11" i="4"/>
  <c r="D9" i="4"/>
  <c r="O9" i="4" s="1"/>
  <c r="D15" i="4"/>
  <c r="D11" i="4"/>
  <c r="Q14" i="10" l="1"/>
  <c r="D42" i="4"/>
  <c r="T13" i="10"/>
  <c r="R14" i="10"/>
  <c r="H32" i="11"/>
  <c r="P31" i="11"/>
  <c r="S17" i="11"/>
  <c r="R17" i="11"/>
  <c r="Q17" i="11"/>
  <c r="F24" i="11"/>
  <c r="F21" i="11"/>
  <c r="I24" i="11"/>
  <c r="I25" i="11" s="1"/>
  <c r="I26" i="11" s="1"/>
  <c r="I27" i="11" s="1"/>
  <c r="I28" i="11" s="1"/>
  <c r="I29" i="11" s="1"/>
  <c r="I30" i="11" s="1"/>
  <c r="I31" i="11" s="1"/>
  <c r="I32" i="11" s="1"/>
  <c r="I33" i="11" s="1"/>
  <c r="I34" i="11" s="1"/>
  <c r="I35" i="11" s="1"/>
  <c r="I36" i="11" s="1"/>
  <c r="I37" i="11" s="1"/>
  <c r="I38" i="11" s="1"/>
  <c r="I39" i="11" s="1"/>
  <c r="I40" i="11" s="1"/>
  <c r="I41" i="11" s="1"/>
  <c r="I42" i="11" s="1"/>
  <c r="I43" i="11" s="1"/>
  <c r="I44" i="11" s="1"/>
  <c r="I45" i="11" s="1"/>
  <c r="I46" i="11" s="1"/>
  <c r="I47" i="11" s="1"/>
  <c r="I48" i="11" s="1"/>
  <c r="I49" i="11" s="1"/>
  <c r="I50" i="11" s="1"/>
  <c r="I51" i="11" s="1"/>
  <c r="I52" i="11" s="1"/>
  <c r="I53" i="11" s="1"/>
  <c r="I54" i="11" s="1"/>
  <c r="I55" i="11" s="1"/>
  <c r="I56" i="11" s="1"/>
  <c r="I57" i="11" s="1"/>
  <c r="I58" i="11" s="1"/>
  <c r="I59" i="11" s="1"/>
  <c r="I60" i="11" s="1"/>
  <c r="I61" i="11" s="1"/>
  <c r="M22" i="11"/>
  <c r="M24" i="11" s="1"/>
  <c r="M25" i="11" s="1"/>
  <c r="M26" i="11" s="1"/>
  <c r="M27" i="11" s="1"/>
  <c r="M28" i="11" s="1"/>
  <c r="M29" i="11" s="1"/>
  <c r="M30" i="11" s="1"/>
  <c r="M31" i="11" s="1"/>
  <c r="M32" i="11" s="1"/>
  <c r="M33" i="11" s="1"/>
  <c r="M34" i="11" s="1"/>
  <c r="M35" i="11" s="1"/>
  <c r="M36" i="11" s="1"/>
  <c r="M37" i="11" s="1"/>
  <c r="M38" i="11" s="1"/>
  <c r="M39" i="11" s="1"/>
  <c r="M40" i="11" s="1"/>
  <c r="M41" i="11" s="1"/>
  <c r="M42" i="11" s="1"/>
  <c r="M43" i="11" s="1"/>
  <c r="M44" i="11" s="1"/>
  <c r="M45" i="11" s="1"/>
  <c r="M46" i="11" s="1"/>
  <c r="M47" i="11" s="1"/>
  <c r="M48" i="11" s="1"/>
  <c r="M49" i="11" s="1"/>
  <c r="M50" i="11" s="1"/>
  <c r="M51" i="11" s="1"/>
  <c r="M52" i="11" s="1"/>
  <c r="M53" i="11" s="1"/>
  <c r="M54" i="11" s="1"/>
  <c r="M55" i="11" s="1"/>
  <c r="M56" i="11" s="1"/>
  <c r="M57" i="11" s="1"/>
  <c r="M58" i="11" s="1"/>
  <c r="M59" i="11" s="1"/>
  <c r="M60" i="11" s="1"/>
  <c r="M61" i="11" s="1"/>
  <c r="T16" i="11"/>
  <c r="D18" i="11"/>
  <c r="B19" i="11"/>
  <c r="C19" i="11" s="1"/>
  <c r="M16" i="10"/>
  <c r="I17" i="10"/>
  <c r="F16" i="10"/>
  <c r="D15" i="10"/>
  <c r="S15" i="10" s="1"/>
  <c r="B16" i="10"/>
  <c r="C16" i="10" s="1"/>
  <c r="H29" i="10"/>
  <c r="P9" i="4"/>
  <c r="B44" i="4"/>
  <c r="C44" i="4" s="1"/>
  <c r="D43" i="4"/>
  <c r="F12" i="4"/>
  <c r="O11" i="4"/>
  <c r="P11" i="4" s="1"/>
  <c r="A1" i="3"/>
  <c r="A1" i="11" s="1"/>
  <c r="Q15" i="10" l="1"/>
  <c r="R15" i="10"/>
  <c r="T14" i="10"/>
  <c r="F22" i="11"/>
  <c r="F25" i="11"/>
  <c r="B20" i="11"/>
  <c r="C20" i="11" s="1"/>
  <c r="D19" i="11"/>
  <c r="S18" i="11"/>
  <c r="Q18" i="11"/>
  <c r="R18" i="11"/>
  <c r="T17" i="11"/>
  <c r="H33" i="11"/>
  <c r="P32" i="11"/>
  <c r="A1" i="10"/>
  <c r="A1" i="4"/>
  <c r="I18" i="10"/>
  <c r="M17" i="10"/>
  <c r="D16" i="10"/>
  <c r="S16" i="10" s="1"/>
  <c r="B17" i="10"/>
  <c r="C17" i="10" s="1"/>
  <c r="H30" i="10"/>
  <c r="F17" i="10"/>
  <c r="B45" i="4"/>
  <c r="C45" i="4" s="1"/>
  <c r="D44" i="4"/>
  <c r="F13" i="4"/>
  <c r="O12" i="4"/>
  <c r="P12" i="4" s="1"/>
  <c r="T15" i="10" l="1"/>
  <c r="R16" i="10"/>
  <c r="Q16" i="10"/>
  <c r="S19" i="11"/>
  <c r="R19" i="11"/>
  <c r="Q19" i="11"/>
  <c r="F26" i="11"/>
  <c r="H34" i="11"/>
  <c r="P33" i="11"/>
  <c r="D20" i="11"/>
  <c r="B21" i="11"/>
  <c r="C21" i="11" s="1"/>
  <c r="T18" i="11"/>
  <c r="M18" i="10"/>
  <c r="I19" i="10"/>
  <c r="F18" i="10"/>
  <c r="H31" i="10"/>
  <c r="B18" i="10"/>
  <c r="C18" i="10" s="1"/>
  <c r="D17" i="10"/>
  <c r="S17" i="10" s="1"/>
  <c r="B46" i="4"/>
  <c r="C46" i="4" s="1"/>
  <c r="D45" i="4"/>
  <c r="F14" i="4"/>
  <c r="O13" i="4"/>
  <c r="P13" i="4" s="1"/>
  <c r="T16" i="10" l="1"/>
  <c r="Q17" i="10"/>
  <c r="R17" i="10"/>
  <c r="D21" i="11"/>
  <c r="B22" i="11"/>
  <c r="C22" i="11" s="1"/>
  <c r="F27" i="11"/>
  <c r="S20" i="11"/>
  <c r="Q20" i="11"/>
  <c r="R20" i="11"/>
  <c r="T19" i="11"/>
  <c r="H35" i="11"/>
  <c r="P34" i="11"/>
  <c r="I20" i="10"/>
  <c r="M19" i="10"/>
  <c r="B19" i="10"/>
  <c r="C19" i="10" s="1"/>
  <c r="D18" i="10"/>
  <c r="S18" i="10" s="1"/>
  <c r="H32" i="10"/>
  <c r="F19" i="10"/>
  <c r="B47" i="4"/>
  <c r="C47" i="4" s="1"/>
  <c r="D46" i="4"/>
  <c r="O14" i="4"/>
  <c r="P14" i="4" s="1"/>
  <c r="F15" i="4"/>
  <c r="T17" i="10" l="1"/>
  <c r="Q18" i="10"/>
  <c r="R18" i="10"/>
  <c r="D22" i="11"/>
  <c r="B24" i="11"/>
  <c r="C24" i="11" s="1"/>
  <c r="S21" i="11"/>
  <c r="R21" i="11"/>
  <c r="Q21" i="11"/>
  <c r="P35" i="11"/>
  <c r="H36" i="11"/>
  <c r="F28" i="11"/>
  <c r="T20" i="11"/>
  <c r="I21" i="10"/>
  <c r="M20" i="10"/>
  <c r="F20" i="10"/>
  <c r="H33" i="10"/>
  <c r="B20" i="10"/>
  <c r="C20" i="10" s="1"/>
  <c r="D19" i="10"/>
  <c r="S19" i="10" s="1"/>
  <c r="B48" i="4"/>
  <c r="C48" i="4" s="1"/>
  <c r="D47" i="4"/>
  <c r="O15" i="4"/>
  <c r="F16" i="4"/>
  <c r="T18" i="10" l="1"/>
  <c r="Q19" i="10"/>
  <c r="R19" i="10"/>
  <c r="T21" i="11"/>
  <c r="F29" i="11"/>
  <c r="B25" i="11"/>
  <c r="C25" i="11" s="1"/>
  <c r="D24" i="11"/>
  <c r="S22" i="11"/>
  <c r="Q22" i="11"/>
  <c r="R22" i="11"/>
  <c r="P36" i="11"/>
  <c r="H37" i="11"/>
  <c r="I22" i="10"/>
  <c r="M21" i="10"/>
  <c r="D20" i="10"/>
  <c r="S20" i="10" s="1"/>
  <c r="B21" i="10"/>
  <c r="C21" i="10" s="1"/>
  <c r="F21" i="10"/>
  <c r="F24" i="10"/>
  <c r="H34" i="10"/>
  <c r="B49" i="4"/>
  <c r="C49" i="4" s="1"/>
  <c r="D48" i="4"/>
  <c r="P15" i="4"/>
  <c r="F17" i="4"/>
  <c r="O16" i="4"/>
  <c r="P16" i="4" s="1"/>
  <c r="T19" i="10" l="1"/>
  <c r="Q20" i="10"/>
  <c r="R20" i="10"/>
  <c r="H38" i="11"/>
  <c r="P37" i="11"/>
  <c r="S24" i="11"/>
  <c r="R24" i="11"/>
  <c r="Q24" i="11"/>
  <c r="F30" i="11"/>
  <c r="D25" i="11"/>
  <c r="B26" i="11"/>
  <c r="C26" i="11" s="1"/>
  <c r="T22" i="11"/>
  <c r="W11" i="11" s="1"/>
  <c r="M22" i="10"/>
  <c r="M24" i="10" s="1"/>
  <c r="M25" i="10" s="1"/>
  <c r="M26" i="10" s="1"/>
  <c r="M27" i="10" s="1"/>
  <c r="M28" i="10" s="1"/>
  <c r="M29" i="10" s="1"/>
  <c r="M30" i="10" s="1"/>
  <c r="M31" i="10" s="1"/>
  <c r="M32" i="10" s="1"/>
  <c r="M33" i="10" s="1"/>
  <c r="M34" i="10" s="1"/>
  <c r="M35" i="10" s="1"/>
  <c r="M36" i="10" s="1"/>
  <c r="M37" i="10" s="1"/>
  <c r="M38" i="10" s="1"/>
  <c r="M39" i="10" s="1"/>
  <c r="M40" i="10" s="1"/>
  <c r="M41" i="10" s="1"/>
  <c r="M42" i="10" s="1"/>
  <c r="M43" i="10" s="1"/>
  <c r="M44" i="10" s="1"/>
  <c r="M45" i="10" s="1"/>
  <c r="M46" i="10" s="1"/>
  <c r="M47" i="10" s="1"/>
  <c r="M48" i="10" s="1"/>
  <c r="M49" i="10" s="1"/>
  <c r="M50" i="10" s="1"/>
  <c r="M51" i="10" s="1"/>
  <c r="M52" i="10" s="1"/>
  <c r="M53" i="10" s="1"/>
  <c r="M54" i="10" s="1"/>
  <c r="M55" i="10" s="1"/>
  <c r="M56" i="10" s="1"/>
  <c r="M57" i="10" s="1"/>
  <c r="M58" i="10" s="1"/>
  <c r="M59" i="10" s="1"/>
  <c r="M60" i="10" s="1"/>
  <c r="M61" i="10" s="1"/>
  <c r="I24" i="10"/>
  <c r="I25" i="10" s="1"/>
  <c r="I26" i="10" s="1"/>
  <c r="I27" i="10" s="1"/>
  <c r="I28" i="10" s="1"/>
  <c r="I29" i="10" s="1"/>
  <c r="I30" i="10" s="1"/>
  <c r="I31" i="10" s="1"/>
  <c r="I32" i="10" s="1"/>
  <c r="I33" i="10" s="1"/>
  <c r="I34" i="10" s="1"/>
  <c r="I35" i="10" s="1"/>
  <c r="I36" i="10" s="1"/>
  <c r="I37" i="10" s="1"/>
  <c r="I38" i="10" s="1"/>
  <c r="I39" i="10" s="1"/>
  <c r="I40" i="10" s="1"/>
  <c r="I41" i="10" s="1"/>
  <c r="I42" i="10" s="1"/>
  <c r="I43" i="10" s="1"/>
  <c r="I44" i="10" s="1"/>
  <c r="I45" i="10" s="1"/>
  <c r="I46" i="10" s="1"/>
  <c r="I47" i="10" s="1"/>
  <c r="I48" i="10" s="1"/>
  <c r="I49" i="10" s="1"/>
  <c r="I50" i="10" s="1"/>
  <c r="I51" i="10" s="1"/>
  <c r="I52" i="10" s="1"/>
  <c r="I53" i="10" s="1"/>
  <c r="I54" i="10" s="1"/>
  <c r="I55" i="10" s="1"/>
  <c r="I56" i="10" s="1"/>
  <c r="I57" i="10" s="1"/>
  <c r="I58" i="10" s="1"/>
  <c r="I59" i="10" s="1"/>
  <c r="I60" i="10" s="1"/>
  <c r="I61" i="10" s="1"/>
  <c r="B22" i="10"/>
  <c r="C22" i="10" s="1"/>
  <c r="D21" i="10"/>
  <c r="S21" i="10" s="1"/>
  <c r="F25" i="10"/>
  <c r="H35" i="10"/>
  <c r="F22" i="10"/>
  <c r="B50" i="4"/>
  <c r="C50" i="4" s="1"/>
  <c r="D49" i="4"/>
  <c r="O17" i="4"/>
  <c r="F18" i="4"/>
  <c r="T20" i="10" l="1"/>
  <c r="Q21" i="10"/>
  <c r="R21" i="10"/>
  <c r="B27" i="11"/>
  <c r="C27" i="11" s="1"/>
  <c r="D26" i="11"/>
  <c r="F31" i="11"/>
  <c r="S25" i="11"/>
  <c r="R25" i="11"/>
  <c r="Q25" i="11"/>
  <c r="T24" i="11"/>
  <c r="U11" i="11"/>
  <c r="V11" i="11" s="1"/>
  <c r="Y11" i="11"/>
  <c r="Z11" i="11" s="1"/>
  <c r="AA11" i="11" s="1"/>
  <c r="H39" i="11"/>
  <c r="P38" i="11"/>
  <c r="H36" i="10"/>
  <c r="F26" i="10"/>
  <c r="D22" i="10"/>
  <c r="S22" i="10" s="1"/>
  <c r="B24" i="10"/>
  <c r="C24" i="10" s="1"/>
  <c r="O18" i="4"/>
  <c r="F20" i="4"/>
  <c r="B51" i="4"/>
  <c r="C51" i="4" s="1"/>
  <c r="D50" i="4"/>
  <c r="P17" i="4"/>
  <c r="Q22" i="10" l="1"/>
  <c r="T21" i="10"/>
  <c r="R22" i="10"/>
  <c r="T25" i="11"/>
  <c r="F32" i="11"/>
  <c r="P39" i="11"/>
  <c r="H40" i="11"/>
  <c r="S26" i="11"/>
  <c r="R26" i="11"/>
  <c r="Q26" i="11"/>
  <c r="B28" i="11"/>
  <c r="C28" i="11" s="1"/>
  <c r="D27" i="11"/>
  <c r="B25" i="10"/>
  <c r="C25" i="10" s="1"/>
  <c r="D24" i="10"/>
  <c r="Q24" i="10" s="1"/>
  <c r="F27" i="10"/>
  <c r="H37" i="10"/>
  <c r="B52" i="4"/>
  <c r="C52" i="4" s="1"/>
  <c r="D51" i="4"/>
  <c r="O20" i="4"/>
  <c r="F21" i="4"/>
  <c r="P18" i="4"/>
  <c r="S9" i="4"/>
  <c r="T22" i="10" l="1"/>
  <c r="AC11" i="10" s="1"/>
  <c r="Z11" i="10" s="1"/>
  <c r="AA11" i="10" s="1"/>
  <c r="S24" i="10"/>
  <c r="R24" i="10"/>
  <c r="D28" i="11"/>
  <c r="B29" i="11"/>
  <c r="C29" i="11" s="1"/>
  <c r="F33" i="11"/>
  <c r="P40" i="11"/>
  <c r="H41" i="11"/>
  <c r="S27" i="11"/>
  <c r="Q27" i="11"/>
  <c r="R27" i="11"/>
  <c r="T26" i="11"/>
  <c r="F28" i="10"/>
  <c r="H38" i="10"/>
  <c r="B26" i="10"/>
  <c r="C26" i="10" s="1"/>
  <c r="D25" i="10"/>
  <c r="Q25" i="10" s="1"/>
  <c r="P20" i="4"/>
  <c r="U9" i="4"/>
  <c r="V9" i="4" s="1"/>
  <c r="W9" i="4" s="1"/>
  <c r="Q9" i="4"/>
  <c r="R9" i="4" s="1"/>
  <c r="B53" i="4"/>
  <c r="C53" i="4" s="1"/>
  <c r="D52" i="4"/>
  <c r="F22" i="4"/>
  <c r="O21" i="4"/>
  <c r="P21" i="4" s="1"/>
  <c r="AE11" i="10" l="1"/>
  <c r="AF11" i="10" s="1"/>
  <c r="AG11" i="10" s="1"/>
  <c r="T24" i="10"/>
  <c r="S25" i="10"/>
  <c r="R25" i="10"/>
  <c r="F34" i="11"/>
  <c r="H42" i="11"/>
  <c r="P41" i="11"/>
  <c r="D29" i="11"/>
  <c r="B30" i="11"/>
  <c r="C30" i="11" s="1"/>
  <c r="T27" i="11"/>
  <c r="S28" i="11"/>
  <c r="R28" i="11"/>
  <c r="Q28" i="11"/>
  <c r="B27" i="10"/>
  <c r="C27" i="10" s="1"/>
  <c r="D26" i="10"/>
  <c r="Q26" i="10" s="1"/>
  <c r="H39" i="10"/>
  <c r="F29" i="10"/>
  <c r="F23" i="4"/>
  <c r="O22" i="4"/>
  <c r="P22" i="4" s="1"/>
  <c r="B54" i="4"/>
  <c r="C54" i="4" s="1"/>
  <c r="D53" i="4"/>
  <c r="T25" i="10" l="1"/>
  <c r="T28" i="11"/>
  <c r="S26" i="10"/>
  <c r="R26" i="10"/>
  <c r="D30" i="11"/>
  <c r="B31" i="11"/>
  <c r="C31" i="11" s="1"/>
  <c r="P42" i="11"/>
  <c r="H43" i="11"/>
  <c r="S29" i="11"/>
  <c r="R29" i="11"/>
  <c r="Q29" i="11"/>
  <c r="F35" i="11"/>
  <c r="H40" i="10"/>
  <c r="D27" i="10"/>
  <c r="Q27" i="10" s="1"/>
  <c r="B28" i="10"/>
  <c r="C28" i="10" s="1"/>
  <c r="F30" i="10"/>
  <c r="B55" i="4"/>
  <c r="C55" i="4" s="1"/>
  <c r="D54" i="4"/>
  <c r="F24" i="4"/>
  <c r="O23" i="4"/>
  <c r="P23" i="4" s="1"/>
  <c r="S27" i="10" l="1"/>
  <c r="R27" i="10"/>
  <c r="T26" i="10"/>
  <c r="S30" i="11"/>
  <c r="Q30" i="11"/>
  <c r="R30" i="11"/>
  <c r="P43" i="11"/>
  <c r="H44" i="11"/>
  <c r="F36" i="11"/>
  <c r="T29" i="11"/>
  <c r="B32" i="11"/>
  <c r="C32" i="11" s="1"/>
  <c r="D31" i="11"/>
  <c r="F31" i="10"/>
  <c r="D28" i="10"/>
  <c r="Q28" i="10" s="1"/>
  <c r="B29" i="10"/>
  <c r="C29" i="10" s="1"/>
  <c r="H41" i="10"/>
  <c r="B56" i="4"/>
  <c r="C56" i="4" s="1"/>
  <c r="D55" i="4"/>
  <c r="F25" i="4"/>
  <c r="O24" i="4"/>
  <c r="P24" i="4" s="1"/>
  <c r="T27" i="10" l="1"/>
  <c r="S28" i="10"/>
  <c r="R28" i="10"/>
  <c r="H45" i="11"/>
  <c r="P44" i="11"/>
  <c r="B33" i="11"/>
  <c r="C33" i="11" s="1"/>
  <c r="D32" i="11"/>
  <c r="S31" i="11"/>
  <c r="Q31" i="11"/>
  <c r="R31" i="11"/>
  <c r="F37" i="11"/>
  <c r="T30" i="11"/>
  <c r="H42" i="10"/>
  <c r="B30" i="10"/>
  <c r="C30" i="10" s="1"/>
  <c r="D29" i="10"/>
  <c r="Q29" i="10" s="1"/>
  <c r="F32" i="10"/>
  <c r="F26" i="4"/>
  <c r="O25" i="4"/>
  <c r="P25" i="4" s="1"/>
  <c r="B57" i="4"/>
  <c r="C57" i="4" s="1"/>
  <c r="D56" i="4"/>
  <c r="T28" i="10" l="1"/>
  <c r="S29" i="10"/>
  <c r="R29" i="10"/>
  <c r="S32" i="11"/>
  <c r="R32" i="11"/>
  <c r="Q32" i="11"/>
  <c r="F38" i="11"/>
  <c r="D33" i="11"/>
  <c r="B34" i="11"/>
  <c r="C34" i="11" s="1"/>
  <c r="T31" i="11"/>
  <c r="H46" i="11"/>
  <c r="P45" i="11"/>
  <c r="F33" i="10"/>
  <c r="H43" i="10"/>
  <c r="B31" i="10"/>
  <c r="C31" i="10" s="1"/>
  <c r="D30" i="10"/>
  <c r="Q30" i="10" s="1"/>
  <c r="B58" i="4"/>
  <c r="C58" i="4" s="1"/>
  <c r="D57" i="4"/>
  <c r="F27" i="4"/>
  <c r="O26" i="4"/>
  <c r="P26" i="4" s="1"/>
  <c r="S30" i="10" l="1"/>
  <c r="R30" i="10"/>
  <c r="T29" i="10"/>
  <c r="B35" i="11"/>
  <c r="C35" i="11" s="1"/>
  <c r="D34" i="11"/>
  <c r="F39" i="11"/>
  <c r="P46" i="11"/>
  <c r="H47" i="11"/>
  <c r="S33" i="11"/>
  <c r="R33" i="11"/>
  <c r="Q33" i="11"/>
  <c r="T32" i="11"/>
  <c r="H44" i="10"/>
  <c r="D31" i="10"/>
  <c r="Q31" i="10" s="1"/>
  <c r="B32" i="10"/>
  <c r="C32" i="10" s="1"/>
  <c r="F34" i="10"/>
  <c r="F28" i="4"/>
  <c r="O27" i="4"/>
  <c r="P27" i="4" s="1"/>
  <c r="B59" i="4"/>
  <c r="C59" i="4" s="1"/>
  <c r="D59" i="4" s="1"/>
  <c r="D58" i="4"/>
  <c r="S31" i="10" l="1"/>
  <c r="R31" i="10"/>
  <c r="T30" i="10"/>
  <c r="F40" i="11"/>
  <c r="P47" i="11"/>
  <c r="H48" i="11"/>
  <c r="T33" i="11"/>
  <c r="S34" i="11"/>
  <c r="Q34" i="11"/>
  <c r="R34" i="11"/>
  <c r="D35" i="11"/>
  <c r="B36" i="11"/>
  <c r="C36" i="11" s="1"/>
  <c r="F35" i="10"/>
  <c r="D32" i="10"/>
  <c r="Q32" i="10" s="1"/>
  <c r="B33" i="10"/>
  <c r="C33" i="10" s="1"/>
  <c r="H45" i="10"/>
  <c r="F29" i="4"/>
  <c r="O28" i="4"/>
  <c r="P28" i="4" s="1"/>
  <c r="S32" i="10" l="1"/>
  <c r="R32" i="10"/>
  <c r="T31" i="10"/>
  <c r="T34" i="11"/>
  <c r="H49" i="11"/>
  <c r="P48" i="11"/>
  <c r="F41" i="11"/>
  <c r="B37" i="11"/>
  <c r="C37" i="11" s="1"/>
  <c r="D36" i="11"/>
  <c r="S35" i="11"/>
  <c r="R35" i="11"/>
  <c r="Q35" i="11"/>
  <c r="H46" i="10"/>
  <c r="F36" i="10"/>
  <c r="D33" i="10"/>
  <c r="Q33" i="10" s="1"/>
  <c r="B34" i="10"/>
  <c r="C34" i="10" s="1"/>
  <c r="F30" i="4"/>
  <c r="O29" i="4"/>
  <c r="P29" i="4" s="1"/>
  <c r="S33" i="10" l="1"/>
  <c r="R33" i="10"/>
  <c r="T32" i="10"/>
  <c r="F42" i="11"/>
  <c r="H50" i="11"/>
  <c r="P49" i="11"/>
  <c r="T35" i="11"/>
  <c r="S36" i="11"/>
  <c r="Q36" i="11"/>
  <c r="R36" i="11"/>
  <c r="D37" i="11"/>
  <c r="B38" i="11"/>
  <c r="C38" i="11" s="1"/>
  <c r="B35" i="10"/>
  <c r="C35" i="10" s="1"/>
  <c r="D34" i="10"/>
  <c r="Q34" i="10" s="1"/>
  <c r="H47" i="10"/>
  <c r="F37" i="10"/>
  <c r="F31" i="4"/>
  <c r="O30" i="4"/>
  <c r="P30" i="4" s="1"/>
  <c r="S34" i="10" l="1"/>
  <c r="R34" i="10"/>
  <c r="T33" i="10"/>
  <c r="T36" i="11"/>
  <c r="P50" i="11"/>
  <c r="H51" i="11"/>
  <c r="B39" i="11"/>
  <c r="C39" i="11" s="1"/>
  <c r="D38" i="11"/>
  <c r="F43" i="11"/>
  <c r="S37" i="11"/>
  <c r="Q37" i="11"/>
  <c r="R37" i="11"/>
  <c r="F38" i="10"/>
  <c r="H48" i="10"/>
  <c r="B36" i="10"/>
  <c r="C36" i="10" s="1"/>
  <c r="D35" i="10"/>
  <c r="Q35" i="10" s="1"/>
  <c r="F32" i="4"/>
  <c r="O31" i="4"/>
  <c r="P31" i="4" s="1"/>
  <c r="T34" i="10" l="1"/>
  <c r="S35" i="10"/>
  <c r="R35" i="10"/>
  <c r="D39" i="11"/>
  <c r="B40" i="11"/>
  <c r="C40" i="11" s="1"/>
  <c r="P51" i="11"/>
  <c r="H52" i="11"/>
  <c r="T37" i="11"/>
  <c r="F44" i="11"/>
  <c r="S38" i="11"/>
  <c r="Q38" i="11"/>
  <c r="R38" i="11"/>
  <c r="F39" i="10"/>
  <c r="D36" i="10"/>
  <c r="Q36" i="10" s="1"/>
  <c r="B37" i="10"/>
  <c r="C37" i="10" s="1"/>
  <c r="H49" i="10"/>
  <c r="F33" i="4"/>
  <c r="O32" i="4"/>
  <c r="P32" i="4" s="1"/>
  <c r="T35" i="10" l="1"/>
  <c r="S36" i="10"/>
  <c r="R36" i="10"/>
  <c r="S39" i="11"/>
  <c r="Q39" i="11"/>
  <c r="R39" i="11"/>
  <c r="F45" i="11"/>
  <c r="H53" i="11"/>
  <c r="P52" i="11"/>
  <c r="T38" i="11"/>
  <c r="D40" i="11"/>
  <c r="B41" i="11"/>
  <c r="C41" i="11" s="1"/>
  <c r="H50" i="10"/>
  <c r="F40" i="10"/>
  <c r="D37" i="10"/>
  <c r="Q37" i="10" s="1"/>
  <c r="B38" i="10"/>
  <c r="C38" i="10" s="1"/>
  <c r="F34" i="4"/>
  <c r="O33" i="4"/>
  <c r="P33" i="4" s="1"/>
  <c r="S37" i="10" l="1"/>
  <c r="R37" i="10"/>
  <c r="T36" i="10"/>
  <c r="F46" i="11"/>
  <c r="D41" i="11"/>
  <c r="B42" i="11"/>
  <c r="C42" i="11" s="1"/>
  <c r="S40" i="11"/>
  <c r="R40" i="11"/>
  <c r="Q40" i="11"/>
  <c r="H54" i="11"/>
  <c r="P53" i="11"/>
  <c r="T39" i="11"/>
  <c r="D38" i="10"/>
  <c r="Q38" i="10" s="1"/>
  <c r="B39" i="10"/>
  <c r="C39" i="10" s="1"/>
  <c r="H51" i="10"/>
  <c r="F41" i="10"/>
  <c r="F35" i="4"/>
  <c r="O34" i="4"/>
  <c r="P34" i="4" s="1"/>
  <c r="T37" i="10" l="1"/>
  <c r="T40" i="11"/>
  <c r="S38" i="10"/>
  <c r="R38" i="10"/>
  <c r="B43" i="11"/>
  <c r="C43" i="11" s="1"/>
  <c r="D42" i="11"/>
  <c r="S41" i="11"/>
  <c r="R41" i="11"/>
  <c r="Q41" i="11"/>
  <c r="P54" i="11"/>
  <c r="H55" i="11"/>
  <c r="F47" i="11"/>
  <c r="F42" i="10"/>
  <c r="D39" i="10"/>
  <c r="Q39" i="10" s="1"/>
  <c r="B40" i="10"/>
  <c r="C40" i="10" s="1"/>
  <c r="H52" i="10"/>
  <c r="F36" i="4"/>
  <c r="O35" i="4"/>
  <c r="P35" i="4" s="1"/>
  <c r="T41" i="11" l="1"/>
  <c r="T38" i="10"/>
  <c r="S39" i="10"/>
  <c r="R39" i="10"/>
  <c r="F48" i="11"/>
  <c r="P55" i="11"/>
  <c r="H56" i="11"/>
  <c r="S42" i="11"/>
  <c r="R42" i="11"/>
  <c r="Q42" i="11"/>
  <c r="D43" i="11"/>
  <c r="B44" i="11"/>
  <c r="C44" i="11" s="1"/>
  <c r="H53" i="10"/>
  <c r="B41" i="10"/>
  <c r="C41" i="10" s="1"/>
  <c r="D40" i="10"/>
  <c r="Q40" i="10" s="1"/>
  <c r="F43" i="10"/>
  <c r="F37" i="4"/>
  <c r="O36" i="4"/>
  <c r="P36" i="4" s="1"/>
  <c r="S40" i="10" l="1"/>
  <c r="R40" i="10"/>
  <c r="T40" i="10" s="1"/>
  <c r="T39" i="10"/>
  <c r="D44" i="11"/>
  <c r="B45" i="11"/>
  <c r="C45" i="11" s="1"/>
  <c r="F49" i="11"/>
  <c r="S43" i="11"/>
  <c r="R43" i="11"/>
  <c r="Q43" i="11"/>
  <c r="T43" i="11" s="1"/>
  <c r="T42" i="11"/>
  <c r="H57" i="11"/>
  <c r="P56" i="11"/>
  <c r="B42" i="10"/>
  <c r="C42" i="10" s="1"/>
  <c r="D41" i="10"/>
  <c r="Q41" i="10" s="1"/>
  <c r="F44" i="10"/>
  <c r="H54" i="10"/>
  <c r="F38" i="4"/>
  <c r="O37" i="4"/>
  <c r="P37" i="4" s="1"/>
  <c r="S41" i="10" l="1"/>
  <c r="R41" i="10"/>
  <c r="T41" i="10" s="1"/>
  <c r="B46" i="11"/>
  <c r="C46" i="11" s="1"/>
  <c r="D45" i="11"/>
  <c r="F50" i="11"/>
  <c r="H58" i="11"/>
  <c r="P57" i="11"/>
  <c r="S44" i="11"/>
  <c r="Q44" i="11"/>
  <c r="R44" i="11"/>
  <c r="H55" i="10"/>
  <c r="F45" i="10"/>
  <c r="D42" i="10"/>
  <c r="Q42" i="10" s="1"/>
  <c r="B43" i="10"/>
  <c r="C43" i="10" s="1"/>
  <c r="F39" i="4"/>
  <c r="O38" i="4"/>
  <c r="P38" i="4" s="1"/>
  <c r="S42" i="10" l="1"/>
  <c r="R42" i="10"/>
  <c r="D46" i="11"/>
  <c r="B47" i="11"/>
  <c r="C47" i="11" s="1"/>
  <c r="F51" i="11"/>
  <c r="P58" i="11"/>
  <c r="H59" i="11"/>
  <c r="T44" i="11"/>
  <c r="S45" i="11"/>
  <c r="Q45" i="11"/>
  <c r="R45" i="11"/>
  <c r="D43" i="10"/>
  <c r="Q43" i="10" s="1"/>
  <c r="B44" i="10"/>
  <c r="C44" i="10" s="1"/>
  <c r="H56" i="10"/>
  <c r="F46" i="10"/>
  <c r="F40" i="4"/>
  <c r="O39" i="4"/>
  <c r="P39" i="4" s="1"/>
  <c r="S43" i="10" l="1"/>
  <c r="R43" i="10"/>
  <c r="T43" i="10" s="1"/>
  <c r="T42" i="10"/>
  <c r="T45" i="11"/>
  <c r="P59" i="11"/>
  <c r="H60" i="11"/>
  <c r="H62" i="11"/>
  <c r="F52" i="11"/>
  <c r="D47" i="11"/>
  <c r="B48" i="11"/>
  <c r="C48" i="11" s="1"/>
  <c r="S46" i="11"/>
  <c r="Q46" i="11"/>
  <c r="R46" i="11"/>
  <c r="H57" i="10"/>
  <c r="H58" i="10" s="1"/>
  <c r="F47" i="10"/>
  <c r="B45" i="10"/>
  <c r="C45" i="10" s="1"/>
  <c r="D44" i="10"/>
  <c r="Q44" i="10" s="1"/>
  <c r="F41" i="4"/>
  <c r="O40" i="4"/>
  <c r="P40" i="4" s="1"/>
  <c r="S44" i="10" l="1"/>
  <c r="R44" i="10"/>
  <c r="T46" i="11"/>
  <c r="F53" i="11"/>
  <c r="H61" i="11"/>
  <c r="P61" i="11" s="1"/>
  <c r="P60" i="11"/>
  <c r="D48" i="11"/>
  <c r="B49" i="11"/>
  <c r="C49" i="11" s="1"/>
  <c r="S47" i="11"/>
  <c r="R47" i="11"/>
  <c r="Q47" i="11"/>
  <c r="H59" i="10"/>
  <c r="B46" i="10"/>
  <c r="C46" i="10" s="1"/>
  <c r="D45" i="10"/>
  <c r="Q45" i="10" s="1"/>
  <c r="F48" i="10"/>
  <c r="F42" i="4"/>
  <c r="O41" i="4"/>
  <c r="P41" i="4" s="1"/>
  <c r="T44" i="10" l="1"/>
  <c r="T47" i="11"/>
  <c r="S45" i="10"/>
  <c r="R45" i="10"/>
  <c r="B50" i="11"/>
  <c r="C50" i="11" s="1"/>
  <c r="D49" i="11"/>
  <c r="S48" i="11"/>
  <c r="Q48" i="11"/>
  <c r="R48" i="11"/>
  <c r="F54" i="11"/>
  <c r="P62" i="11"/>
  <c r="W13" i="11"/>
  <c r="H60" i="10"/>
  <c r="F49" i="10"/>
  <c r="B47" i="10"/>
  <c r="C47" i="10" s="1"/>
  <c r="D46" i="10"/>
  <c r="Q46" i="10" s="1"/>
  <c r="F43" i="4"/>
  <c r="O42" i="4"/>
  <c r="P42" i="4" s="1"/>
  <c r="S46" i="10" l="1"/>
  <c r="R46" i="10"/>
  <c r="T45" i="10"/>
  <c r="B51" i="11"/>
  <c r="C51" i="11" s="1"/>
  <c r="D50" i="11"/>
  <c r="T48" i="11"/>
  <c r="F55" i="11"/>
  <c r="S49" i="11"/>
  <c r="Q49" i="11"/>
  <c r="R49" i="11"/>
  <c r="H61" i="10"/>
  <c r="D47" i="10"/>
  <c r="Q47" i="10" s="1"/>
  <c r="B48" i="10"/>
  <c r="C48" i="10" s="1"/>
  <c r="F50" i="10"/>
  <c r="F44" i="4"/>
  <c r="O43" i="4"/>
  <c r="P43" i="4" s="1"/>
  <c r="T46" i="10" l="1"/>
  <c r="AC13" i="10"/>
  <c r="S47" i="10"/>
  <c r="R47" i="10"/>
  <c r="T49" i="11"/>
  <c r="F56" i="11"/>
  <c r="S50" i="11"/>
  <c r="R50" i="11"/>
  <c r="Q50" i="11"/>
  <c r="D51" i="11"/>
  <c r="B52" i="11"/>
  <c r="C52" i="11" s="1"/>
  <c r="P62" i="10"/>
  <c r="B49" i="10"/>
  <c r="C49" i="10" s="1"/>
  <c r="D48" i="10"/>
  <c r="Q48" i="10" s="1"/>
  <c r="F51" i="10"/>
  <c r="F45" i="4"/>
  <c r="O44" i="4"/>
  <c r="P44" i="4" s="1"/>
  <c r="S48" i="10" l="1"/>
  <c r="R48" i="10"/>
  <c r="T47" i="10"/>
  <c r="D52" i="11"/>
  <c r="B53" i="11"/>
  <c r="C53" i="11" s="1"/>
  <c r="S51" i="11"/>
  <c r="Q51" i="11"/>
  <c r="R51" i="11"/>
  <c r="T50" i="11"/>
  <c r="F57" i="11"/>
  <c r="F52" i="10"/>
  <c r="D49" i="10"/>
  <c r="Q49" i="10" s="1"/>
  <c r="B50" i="10"/>
  <c r="C50" i="10" s="1"/>
  <c r="F46" i="4"/>
  <c r="O45" i="4"/>
  <c r="P45" i="4" s="1"/>
  <c r="T48" i="10" l="1"/>
  <c r="S49" i="10"/>
  <c r="R49" i="10"/>
  <c r="S52" i="11"/>
  <c r="R52" i="11"/>
  <c r="Q52" i="11"/>
  <c r="F58" i="11"/>
  <c r="T51" i="11"/>
  <c r="B54" i="11"/>
  <c r="C54" i="11" s="1"/>
  <c r="D53" i="11"/>
  <c r="F53" i="10"/>
  <c r="B51" i="10"/>
  <c r="C51" i="10" s="1"/>
  <c r="D50" i="10"/>
  <c r="Q50" i="10" s="1"/>
  <c r="F47" i="4"/>
  <c r="O46" i="4"/>
  <c r="P46" i="4" s="1"/>
  <c r="S50" i="10" l="1"/>
  <c r="R50" i="10"/>
  <c r="T49" i="10"/>
  <c r="S53" i="11"/>
  <c r="R53" i="11"/>
  <c r="Q53" i="11"/>
  <c r="F59" i="11"/>
  <c r="D54" i="11"/>
  <c r="B55" i="11"/>
  <c r="C55" i="11" s="1"/>
  <c r="T52" i="11"/>
  <c r="D51" i="10"/>
  <c r="Q51" i="10" s="1"/>
  <c r="B52" i="10"/>
  <c r="C52" i="10" s="1"/>
  <c r="F54" i="10"/>
  <c r="F48" i="4"/>
  <c r="O47" i="4"/>
  <c r="P47" i="4" s="1"/>
  <c r="S51" i="10" l="1"/>
  <c r="R51" i="10"/>
  <c r="T51" i="10" s="1"/>
  <c r="T50" i="10"/>
  <c r="D55" i="11"/>
  <c r="B56" i="11"/>
  <c r="C56" i="11" s="1"/>
  <c r="F60" i="11"/>
  <c r="S54" i="11"/>
  <c r="Q54" i="11"/>
  <c r="R54" i="11"/>
  <c r="T53" i="11"/>
  <c r="F55" i="10"/>
  <c r="B53" i="10"/>
  <c r="C53" i="10" s="1"/>
  <c r="D52" i="10"/>
  <c r="Q52" i="10" s="1"/>
  <c r="F49" i="4"/>
  <c r="O48" i="4"/>
  <c r="P48" i="4" s="1"/>
  <c r="S52" i="10" l="1"/>
  <c r="R52" i="10"/>
  <c r="T52" i="10" s="1"/>
  <c r="F61" i="11"/>
  <c r="S55" i="11"/>
  <c r="Q55" i="11"/>
  <c r="R55" i="11"/>
  <c r="T54" i="11"/>
  <c r="D56" i="11"/>
  <c r="B57" i="11"/>
  <c r="C57" i="11" s="1"/>
  <c r="D53" i="10"/>
  <c r="Q53" i="10" s="1"/>
  <c r="B54" i="10"/>
  <c r="C54" i="10" s="1"/>
  <c r="F56" i="10"/>
  <c r="F50" i="4"/>
  <c r="O49" i="4"/>
  <c r="P49" i="4" s="1"/>
  <c r="T55" i="11" l="1"/>
  <c r="S53" i="10"/>
  <c r="R53" i="10"/>
  <c r="B58" i="11"/>
  <c r="C58" i="11" s="1"/>
  <c r="D57" i="11"/>
  <c r="S56" i="11"/>
  <c r="R56" i="11"/>
  <c r="Q56" i="11"/>
  <c r="F57" i="10"/>
  <c r="D54" i="10"/>
  <c r="Q54" i="10" s="1"/>
  <c r="B55" i="10"/>
  <c r="C55" i="10" s="1"/>
  <c r="F51" i="4"/>
  <c r="O50" i="4"/>
  <c r="P50" i="4" s="1"/>
  <c r="T53" i="10" l="1"/>
  <c r="T56" i="11"/>
  <c r="F58" i="10"/>
  <c r="S54" i="10"/>
  <c r="R54" i="10"/>
  <c r="B59" i="11"/>
  <c r="C59" i="11" s="1"/>
  <c r="D58" i="11"/>
  <c r="S57" i="11"/>
  <c r="Q57" i="11"/>
  <c r="R57" i="11"/>
  <c r="D55" i="10"/>
  <c r="Q55" i="10" s="1"/>
  <c r="B56" i="10"/>
  <c r="C56" i="10" s="1"/>
  <c r="F52" i="4"/>
  <c r="O51" i="4"/>
  <c r="P51" i="4" s="1"/>
  <c r="T54" i="10" l="1"/>
  <c r="S55" i="10"/>
  <c r="R55" i="10"/>
  <c r="F59" i="10"/>
  <c r="D59" i="11"/>
  <c r="B60" i="11"/>
  <c r="C60" i="11" s="1"/>
  <c r="T57" i="11"/>
  <c r="S58" i="11"/>
  <c r="R58" i="11"/>
  <c r="Q58" i="11"/>
  <c r="D56" i="10"/>
  <c r="Q56" i="10" s="1"/>
  <c r="B57" i="10"/>
  <c r="C57" i="10" s="1"/>
  <c r="F53" i="4"/>
  <c r="O52" i="4"/>
  <c r="P52" i="4" s="1"/>
  <c r="F60" i="10" l="1"/>
  <c r="S56" i="10"/>
  <c r="R56" i="10"/>
  <c r="T55" i="10"/>
  <c r="S59" i="11"/>
  <c r="R59" i="11"/>
  <c r="Q59" i="11"/>
  <c r="T58" i="11"/>
  <c r="D60" i="11"/>
  <c r="B61" i="11"/>
  <c r="C61" i="11" s="1"/>
  <c r="D61" i="11" s="1"/>
  <c r="B58" i="10"/>
  <c r="C58" i="10" s="1"/>
  <c r="D57" i="10"/>
  <c r="Q57" i="10" s="1"/>
  <c r="F54" i="4"/>
  <c r="O53" i="4"/>
  <c r="P53" i="4" s="1"/>
  <c r="F61" i="10" l="1"/>
  <c r="T56" i="10"/>
  <c r="S57" i="10"/>
  <c r="R57" i="10"/>
  <c r="S60" i="11"/>
  <c r="Q60" i="11"/>
  <c r="R60" i="11"/>
  <c r="T59" i="11"/>
  <c r="S61" i="11"/>
  <c r="R61" i="11"/>
  <c r="Q61" i="11"/>
  <c r="D58" i="10"/>
  <c r="Q58" i="10" s="1"/>
  <c r="B59" i="10"/>
  <c r="C59" i="10" s="1"/>
  <c r="F55" i="4"/>
  <c r="O54" i="4"/>
  <c r="P54" i="4" s="1"/>
  <c r="D59" i="10" l="1"/>
  <c r="Q59" i="10" s="1"/>
  <c r="B60" i="10"/>
  <c r="C60" i="10" s="1"/>
  <c r="S58" i="10"/>
  <c r="R58" i="10"/>
  <c r="T57" i="10"/>
  <c r="S62" i="11"/>
  <c r="W14" i="11"/>
  <c r="W12" i="11" s="1"/>
  <c r="Q62" i="11"/>
  <c r="T61" i="11"/>
  <c r="R62" i="11"/>
  <c r="W64" i="11" s="1"/>
  <c r="T60" i="11"/>
  <c r="F56" i="4"/>
  <c r="O55" i="4"/>
  <c r="P55" i="4" s="1"/>
  <c r="T58" i="10" l="1"/>
  <c r="D60" i="10"/>
  <c r="Q60" i="10" s="1"/>
  <c r="B61" i="10"/>
  <c r="C61" i="10" s="1"/>
  <c r="D61" i="10" s="1"/>
  <c r="Q61" i="10" s="1"/>
  <c r="S59" i="10"/>
  <c r="R59" i="10"/>
  <c r="T62" i="11"/>
  <c r="Y12" i="11"/>
  <c r="Z12" i="11" s="1"/>
  <c r="AA12" i="11" s="1"/>
  <c r="U12" i="11"/>
  <c r="V12" i="11" s="1"/>
  <c r="W10" i="11"/>
  <c r="W15" i="11" s="1"/>
  <c r="F57" i="4"/>
  <c r="O56" i="4"/>
  <c r="P56" i="4" s="1"/>
  <c r="T59" i="10" l="1"/>
  <c r="S61" i="10"/>
  <c r="R61" i="10"/>
  <c r="S60" i="10"/>
  <c r="R60" i="10"/>
  <c r="U65" i="11"/>
  <c r="U64" i="11"/>
  <c r="F58" i="4"/>
  <c r="O57" i="4"/>
  <c r="P57" i="4" s="1"/>
  <c r="R62" i="10" l="1"/>
  <c r="Q62" i="10"/>
  <c r="T61" i="10"/>
  <c r="S62" i="10"/>
  <c r="AC14" i="10"/>
  <c r="AC12" i="10" s="1"/>
  <c r="T60" i="10"/>
  <c r="F59" i="4"/>
  <c r="O59" i="4" s="1"/>
  <c r="O58" i="4"/>
  <c r="P58" i="4" s="1"/>
  <c r="AC64" i="10" l="1"/>
  <c r="R71" i="10"/>
  <c r="T62" i="10"/>
  <c r="AC10" i="10"/>
  <c r="AC15" i="10" s="1"/>
  <c r="AC16" i="10" s="1"/>
  <c r="AF16" i="10" s="1"/>
  <c r="AG16" i="10" s="1"/>
  <c r="Z12" i="10"/>
  <c r="AA12" i="10" s="1"/>
  <c r="AE12" i="10"/>
  <c r="AF12" i="10" s="1"/>
  <c r="AG12" i="10" s="1"/>
  <c r="P59" i="4"/>
  <c r="P60" i="4" s="1"/>
  <c r="O60" i="4"/>
  <c r="S12" i="4"/>
  <c r="S10" i="4" s="1"/>
  <c r="Z65" i="10" l="1"/>
  <c r="T73" i="11"/>
  <c r="T74" i="11" s="1"/>
  <c r="W18" i="11" s="1"/>
  <c r="U18" i="11" s="1"/>
  <c r="X18" i="11" s="1"/>
  <c r="Z64" i="10"/>
  <c r="U10" i="4"/>
  <c r="V10" i="4" s="1"/>
  <c r="W10" i="4" s="1"/>
  <c r="Q10" i="4"/>
  <c r="R10" i="4" s="1"/>
</calcChain>
</file>

<file path=xl/sharedStrings.xml><?xml version="1.0" encoding="utf-8"?>
<sst xmlns="http://schemas.openxmlformats.org/spreadsheetml/2006/main" count="489" uniqueCount="249">
  <si>
    <t>ỦY BAN NHÂN DÂN TỈNH QUẢNG TRỊ</t>
  </si>
  <si>
    <r>
      <rPr>
        <i/>
        <sz val="12"/>
        <rFont val="Times New Roman"/>
        <family val="1"/>
      </rPr>
      <t>Đơn vị: Triệu đồng</t>
    </r>
  </si>
  <si>
    <r>
      <rPr>
        <b/>
        <sz val="12"/>
        <rFont val="Times New Roman"/>
        <family val="1"/>
      </rPr>
      <t>TT</t>
    </r>
  </si>
  <si>
    <r>
      <rPr>
        <b/>
        <sz val="12"/>
        <rFont val="Times New Roman"/>
        <family val="1"/>
      </rPr>
      <t>Nội dung</t>
    </r>
  </si>
  <si>
    <r>
      <rPr>
        <b/>
        <sz val="12"/>
        <rFont val="Times New Roman"/>
        <family val="1"/>
      </rPr>
      <t>Vay trong năm (*)</t>
    </r>
  </si>
  <si>
    <r>
      <rPr>
        <b/>
        <sz val="12"/>
        <rFont val="Times New Roman"/>
        <family val="1"/>
      </rPr>
      <t>Trả nợ trong năm</t>
    </r>
  </si>
  <si>
    <r>
      <rPr>
        <b/>
        <sz val="12"/>
        <rFont val="Times New Roman"/>
        <family val="1"/>
      </rPr>
      <t>Gốc</t>
    </r>
  </si>
  <si>
    <r>
      <rPr>
        <b/>
        <sz val="12"/>
        <rFont val="Times New Roman"/>
        <family val="1"/>
      </rPr>
      <t>Lãi/phí</t>
    </r>
  </si>
  <si>
    <r>
      <rPr>
        <b/>
        <sz val="12"/>
        <rFont val="Times New Roman"/>
        <family val="1"/>
      </rPr>
      <t>Tổng</t>
    </r>
  </si>
  <si>
    <r>
      <rPr>
        <i/>
        <sz val="12"/>
        <rFont val="Times New Roman"/>
        <family val="1"/>
      </rPr>
      <t>a</t>
    </r>
  </si>
  <si>
    <r>
      <rPr>
        <i/>
        <sz val="12"/>
        <rFont val="Times New Roman"/>
        <family val="1"/>
      </rPr>
      <t>b</t>
    </r>
  </si>
  <si>
    <r>
      <rPr>
        <i/>
        <sz val="12"/>
        <rFont val="Times New Roman"/>
        <family val="1"/>
      </rPr>
      <t>1</t>
    </r>
  </si>
  <si>
    <r>
      <rPr>
        <i/>
        <sz val="12"/>
        <rFont val="Times New Roman"/>
        <family val="1"/>
      </rPr>
      <t>2</t>
    </r>
  </si>
  <si>
    <r>
      <rPr>
        <i/>
        <sz val="12"/>
        <rFont val="Times New Roman"/>
        <family val="1"/>
      </rPr>
      <t>3</t>
    </r>
  </si>
  <si>
    <r>
      <rPr>
        <i/>
        <sz val="12"/>
        <rFont val="Times New Roman"/>
        <family val="1"/>
      </rPr>
      <t>4</t>
    </r>
  </si>
  <si>
    <r>
      <rPr>
        <i/>
        <sz val="12"/>
        <rFont val="Times New Roman"/>
        <family val="1"/>
      </rPr>
      <t>5</t>
    </r>
  </si>
  <si>
    <r>
      <rPr>
        <i/>
        <sz val="12"/>
        <rFont val="Times New Roman"/>
        <family val="1"/>
      </rPr>
      <t>6=1+2-3</t>
    </r>
  </si>
  <si>
    <r>
      <rPr>
        <b/>
        <sz val="12"/>
        <rFont val="Times New Roman"/>
        <family val="1"/>
      </rPr>
      <t>Tổng số</t>
    </r>
  </si>
  <si>
    <r>
      <rPr>
        <b/>
        <sz val="12"/>
        <rFont val="Times New Roman"/>
        <family val="1"/>
      </rPr>
      <t>I</t>
    </r>
  </si>
  <si>
    <r>
      <rPr>
        <b/>
        <sz val="12"/>
        <rFont val="Times New Roman"/>
        <family val="1"/>
      </rPr>
      <t>Tạm ứng ngân quỹ nhà nước (**)</t>
    </r>
  </si>
  <si>
    <r>
      <rPr>
        <b/>
        <sz val="12"/>
        <rFont val="Times New Roman"/>
        <family val="1"/>
      </rPr>
      <t>II</t>
    </r>
  </si>
  <si>
    <r>
      <rPr>
        <b/>
        <sz val="12"/>
        <rFont val="Times New Roman"/>
        <family val="1"/>
      </rPr>
      <t>Vay các tổ chức tài chính, tín dụng</t>
    </r>
  </si>
  <si>
    <t>1</t>
  </si>
  <si>
    <t>Vay Ngân hàng Phát triển Việt Nam</t>
  </si>
  <si>
    <t>2</t>
  </si>
  <si>
    <t>Vay các tổ chức tài chính, tín dụng</t>
  </si>
  <si>
    <r>
      <rPr>
        <b/>
        <sz val="12"/>
        <rFont val="Times New Roman"/>
        <family val="1"/>
      </rPr>
      <t>III</t>
    </r>
  </si>
  <si>
    <r>
      <rPr>
        <b/>
        <sz val="12"/>
        <rFont val="Times New Roman"/>
        <family val="1"/>
      </rPr>
      <t>Vay lại vốn vay nước ngoài (***)</t>
    </r>
  </si>
  <si>
    <t>3</t>
  </si>
  <si>
    <t>4</t>
  </si>
  <si>
    <r>
      <rPr>
        <b/>
        <sz val="12"/>
        <rFont val="Times New Roman"/>
        <family val="1"/>
      </rPr>
      <t>Mức dư nợ vay tối đa của ngân sách địa phương</t>
    </r>
  </si>
  <si>
    <r>
      <rPr>
        <b/>
        <i/>
        <sz val="12"/>
        <rFont val="Times New Roman"/>
        <family val="1"/>
      </rPr>
      <t>Ghi chú:</t>
    </r>
  </si>
  <si>
    <t>PHỤ LỤC 01</t>
  </si>
  <si>
    <t>(Kèm theo văn bản số:          /UBND-KT ngày       tháng 3 năm 2022 của UBND tỉnh Quảng Trị)</t>
  </si>
  <si>
    <t>Dư nợ đầu năm (ngày 01 tháng 01)</t>
  </si>
  <si>
    <t>BÁO CÁO TÌNH HÌNH VAY VÀ TRẢ NỢ CỦA CHÍNH QUYỀN ĐỊA PHƯƠNG ĐẾN NGÀY        THÁNG 3 NĂM 2022</t>
  </si>
  <si>
    <t>Dư nợ đến …../3/2021</t>
  </si>
  <si>
    <t>Dự án …………..</t>
  </si>
  <si>
    <t>…</t>
  </si>
  <si>
    <t>…………………</t>
  </si>
  <si>
    <r>
      <rPr>
        <b/>
        <sz val="12"/>
        <rFont val="Times New Roman"/>
        <family val="1"/>
      </rPr>
      <t>PHỤ LỤC 02</t>
    </r>
  </si>
  <si>
    <r>
      <rPr>
        <i/>
        <sz val="12"/>
        <rFont val="Times New Roman"/>
        <family val="1"/>
      </rPr>
      <t>Đơn vị tính: triệu đồng</t>
    </r>
  </si>
  <si>
    <t>Thu ngân sách địa phương được hưởng</t>
  </si>
  <si>
    <t>Trả nợ vốn vay lại</t>
  </si>
  <si>
    <t>Tỷ lệ trả nợ vốn vay lại trên thu ngân sách địa phương được hưởng</t>
  </si>
  <si>
    <t>TỔNG HỢP TÌNH HÌNH TRẢ NỢ VỐN VAY LẠI TRÊN THU NGÂN SÁCH ĐỊA PHƯƠNG ĐƯỢC HƯỞNG NĂM: 2018, 2019, 2020 và 2021</t>
  </si>
  <si>
    <t>(Kèm theo Văn bản số             /UBND-KT ngày       tháng 3 năm 2021 của UBND tỉnh Quảng Trị)</t>
  </si>
  <si>
    <t>STT</t>
  </si>
  <si>
    <t>Nội dung</t>
  </si>
  <si>
    <r>
      <rPr>
        <b/>
        <sz val="12"/>
        <rFont val="Times New Roman"/>
        <family val="1"/>
      </rPr>
      <t>PHỤ LỤC 03</t>
    </r>
  </si>
  <si>
    <r>
      <rPr>
        <b/>
        <sz val="12"/>
        <rFont val="Times New Roman"/>
        <family val="1"/>
      </rPr>
      <t>Kỳ thanh toán</t>
    </r>
  </si>
  <si>
    <r>
      <rPr>
        <b/>
        <sz val="12"/>
        <rFont val="Times New Roman"/>
        <family val="1"/>
      </rPr>
      <t>Số ngày</t>
    </r>
  </si>
  <si>
    <r>
      <rPr>
        <b/>
        <sz val="12"/>
        <rFont val="Times New Roman"/>
        <family val="1"/>
      </rPr>
      <t>Giải ngân</t>
    </r>
  </si>
  <si>
    <r>
      <rPr>
        <b/>
        <sz val="12"/>
        <rFont val="Times New Roman"/>
        <family val="1"/>
      </rPr>
      <t>Dư nợ</t>
    </r>
  </si>
  <si>
    <r>
      <rPr>
        <b/>
        <sz val="12"/>
        <rFont val="Times New Roman"/>
        <family val="1"/>
      </rPr>
      <t>Số dư chưa giải ngân</t>
    </r>
  </si>
  <si>
    <r>
      <rPr>
        <b/>
        <sz val="12"/>
        <rFont val="Times New Roman"/>
        <family val="1"/>
      </rPr>
      <t>Tỉ lệ trả gốc (%)</t>
    </r>
  </si>
  <si>
    <r>
      <rPr>
        <b/>
        <sz val="12"/>
        <rFont val="Times New Roman"/>
        <family val="1"/>
      </rPr>
      <t>Lãi suất chuyển đổi cố định (%/năm)</t>
    </r>
  </si>
  <si>
    <r>
      <rPr>
        <b/>
        <sz val="12"/>
        <rFont val="Times New Roman"/>
        <family val="1"/>
      </rPr>
      <t>Phí chênh lệch biến đổi (%/năm)</t>
    </r>
  </si>
  <si>
    <r>
      <rPr>
        <b/>
        <sz val="12"/>
        <rFont val="Times New Roman"/>
        <family val="1"/>
      </rPr>
      <t>Lãi vay tổng cộng (%/năm)</t>
    </r>
  </si>
  <si>
    <r>
      <rPr>
        <b/>
        <sz val="12"/>
        <rFont val="Times New Roman"/>
        <family val="1"/>
      </rPr>
      <t>Phí Quản lý cho vay lại (%/năm)</t>
    </r>
  </si>
  <si>
    <r>
      <rPr>
        <b/>
        <sz val="12"/>
        <rFont val="Times New Roman"/>
        <family val="1"/>
      </rPr>
      <t>Phí cam kết (%/năm)</t>
    </r>
  </si>
  <si>
    <r>
      <rPr>
        <b/>
        <sz val="12"/>
        <rFont val="Times New Roman"/>
        <family val="1"/>
      </rPr>
      <t>Trả gốc</t>
    </r>
  </si>
  <si>
    <r>
      <rPr>
        <b/>
        <sz val="12"/>
        <rFont val="Times New Roman"/>
        <family val="1"/>
      </rPr>
      <t>Trả lãi + các loại phí</t>
    </r>
  </si>
  <si>
    <r>
      <rPr>
        <b/>
        <sz val="12"/>
        <rFont val="Times New Roman"/>
        <family val="1"/>
      </rPr>
      <t>Tổng nợ phải trả theo đợt</t>
    </r>
  </si>
  <si>
    <t>1,200</t>
  </si>
  <si>
    <t>0,500</t>
  </si>
  <si>
    <t>1,700</t>
  </si>
  <si>
    <t>0,250</t>
  </si>
  <si>
    <r>
      <rPr>
        <b/>
        <sz val="12"/>
        <rFont val="Times New Roman"/>
        <family val="1"/>
      </rPr>
      <t>Cộng</t>
    </r>
  </si>
  <si>
    <t>Thời gian
kết thúc</t>
  </si>
  <si>
    <t>Thời gian
bắt đầu</t>
  </si>
  <si>
    <t>PHƯƠNG ÁN VAY VÀ TRẢ NỢ CỦA DỰ ÁN “XÂY DỰNG CƠ SỞ HẠ TẦNG THÍCH ỨNG VỚI BIẾN ĐỔI KHÍ HẬU CHO ĐỒNG BÀO DÂN TỘC THIỂU SỐ (CRIEM) - DỰ ÁN THÀNH PHẦN TỈNH QUẢNG TRỊ”</t>
  </si>
  <si>
    <t>I. Thời gian ân hạn</t>
  </si>
  <si>
    <t>II. Thời gian trả nợ</t>
  </si>
  <si>
    <t>TT</t>
  </si>
  <si>
    <t>Thời gian thực hiện dự án</t>
  </si>
  <si>
    <t>Vôn vay ADB</t>
  </si>
  <si>
    <t>Phương án rút vốn ADB</t>
  </si>
  <si>
    <t>Trong đó</t>
  </si>
  <si>
    <t>Vốn TW cấp phát</t>
  </si>
  <si>
    <t>Vốn vay lại của tỉnh</t>
  </si>
  <si>
    <t>Vốn đối ứng</t>
  </si>
  <si>
    <t>Tổng vốn ADB và vốn đối ứng</t>
  </si>
  <si>
    <t>5 năm ân hạn</t>
  </si>
  <si>
    <t>20 năm</t>
  </si>
  <si>
    <t>Đơn vị tính: USD</t>
  </si>
  <si>
    <t>USD: 14</t>
  </si>
  <si>
    <t>JPY: (42)</t>
  </si>
  <si>
    <t>EUR: 3</t>
  </si>
  <si>
    <t>NZD: 47</t>
  </si>
  <si>
    <t>C0</t>
  </si>
  <si>
    <t>B and C1</t>
  </si>
  <si>
    <t>C2</t>
  </si>
  <si>
    <t>C3</t>
  </si>
  <si>
    <t>C4</t>
  </si>
  <si>
    <t>&lt; 9 years</t>
  </si>
  <si>
    <t>9 years to &lt; 13 years</t>
  </si>
  <si>
    <t>13 years to &lt; 16 years</t>
  </si>
  <si>
    <t>16 years to 19 years</t>
  </si>
  <si>
    <t>USD: 64 to 139</t>
  </si>
  <si>
    <t>JPY: 8 to 83</t>
  </si>
  <si>
    <t>EUR: 53 to 128</t>
  </si>
  <si>
    <t>NZD: 97 to 172</t>
  </si>
  <si>
    <t>Nguồn: https://www.adb.org/what-we-do/public-sector-financing/lending-policies-rates</t>
  </si>
  <si>
    <t>Item
Mục</t>
  </si>
  <si>
    <r>
      <t xml:space="preserve">A. Interest Spread
</t>
    </r>
    <r>
      <rPr>
        <b/>
        <i/>
        <sz val="11"/>
        <color rgb="FF333333"/>
        <rFont val="Segoe UI"/>
        <family val="2"/>
      </rPr>
      <t>Chênh lệch lãi suất</t>
    </r>
  </si>
  <si>
    <r>
      <t xml:space="preserve">1. Effective Contractual Spread
</t>
    </r>
    <r>
      <rPr>
        <i/>
        <sz val="11"/>
        <color rgb="FF333333"/>
        <rFont val="Segoe UI"/>
        <family val="2"/>
      </rPr>
      <t>Chênh lệch hợp đồng hiệu quả</t>
    </r>
  </si>
  <si>
    <r>
      <t xml:space="preserve">2. (Rebate) / Surcharge on Funding Cost Margin*
</t>
    </r>
    <r>
      <rPr>
        <i/>
        <sz val="11"/>
        <color rgb="FF333333"/>
        <rFont val="Segoe UI"/>
        <family val="2"/>
      </rPr>
      <t>(Hoàn trả) / Phụ phí trên Biên chi phí tài trợ</t>
    </r>
  </si>
  <si>
    <r>
      <t xml:space="preserve">3. Maturity Premium
</t>
    </r>
    <r>
      <rPr>
        <i/>
        <sz val="11"/>
        <color rgb="FF333333"/>
        <rFont val="Segoe UI"/>
        <family val="2"/>
      </rPr>
      <t>Trả phí đáo hạn</t>
    </r>
  </si>
  <si>
    <r>
      <t xml:space="preserve">4. Net Spread Over Reference Rate (1+2+3)*
</t>
    </r>
    <r>
      <rPr>
        <i/>
        <sz val="11"/>
        <color rgb="FF333333"/>
        <rFont val="Segoe UI"/>
        <family val="2"/>
      </rPr>
      <t>Chênh lệch ròng trên tỷ lệ tham chiếu</t>
    </r>
  </si>
  <si>
    <r>
      <t xml:space="preserve">B. Commitment Charge
</t>
    </r>
    <r>
      <rPr>
        <b/>
        <i/>
        <sz val="11"/>
        <color rgb="FF333333"/>
        <rFont val="Segoe UI"/>
        <family val="2"/>
      </rPr>
      <t>Phí cam kết</t>
    </r>
  </si>
  <si>
    <r>
      <t>(based on the undisbursed balance of the loan)
(</t>
    </r>
    <r>
      <rPr>
        <i/>
        <sz val="11"/>
        <color rgb="FF333333"/>
        <rFont val="Segoe UI"/>
        <family val="2"/>
      </rPr>
      <t>dựa trên số dư chưa giải ngân của khoản vay)</t>
    </r>
  </si>
  <si>
    <r>
      <t xml:space="preserve">(in basis points)
</t>
    </r>
    <r>
      <rPr>
        <b/>
        <i/>
        <sz val="11"/>
        <color rgb="FF333333"/>
        <rFont val="Segoe UI"/>
        <family val="2"/>
      </rPr>
      <t>(tính theo điểm cơ bản)</t>
    </r>
    <r>
      <rPr>
        <b/>
        <sz val="11"/>
        <color rgb="FF333333"/>
        <rFont val="Segoe UI"/>
        <family val="2"/>
      </rPr>
      <t xml:space="preserve">
</t>
    </r>
  </si>
  <si>
    <t>32 yrs</t>
  </si>
  <si>
    <t>8 yrs</t>
  </si>
  <si>
    <t>1% during the grace period</t>
  </si>
  <si>
    <t>1.5% during the amortization period</t>
  </si>
  <si>
    <t>Equal amortization; No commitment fee</t>
  </si>
  <si>
    <t>24 yrs</t>
  </si>
  <si>
    <t>25 yrs</t>
  </si>
  <si>
    <t>5 yrs</t>
  </si>
  <si>
    <t>2% interest per year</t>
  </si>
  <si>
    <t>40 yrs</t>
  </si>
  <si>
    <t>10 yrs</t>
  </si>
  <si>
    <t>1% interest per year</t>
  </si>
  <si>
    <t>Principal repayment at 2% per year for the first 10 years after the grace period and 4% per year thereafter; No commitment fee</t>
  </si>
  <si>
    <r>
      <t xml:space="preserve">ADB Loan Charges for Regular OCR Flexible Loan Product (FLP)
</t>
    </r>
    <r>
      <rPr>
        <b/>
        <i/>
        <sz val="11"/>
        <rFont val="Arial"/>
        <family val="2"/>
      </rPr>
      <t>Phí cho vay của ADB đối với Sản phẩm cho vay linh hoạt OCR thông thường (FLP)</t>
    </r>
  </si>
  <si>
    <r>
      <t xml:space="preserve">Average Maturity
</t>
    </r>
    <r>
      <rPr>
        <b/>
        <i/>
        <sz val="11"/>
        <rFont val="Arial"/>
        <family val="2"/>
      </rPr>
      <t>Độ chín trung bình</t>
    </r>
  </si>
  <si>
    <r>
      <t xml:space="preserve">Terms and conditions of ADB's concessional loans
</t>
    </r>
    <r>
      <rPr>
        <i/>
        <sz val="11"/>
        <rFont val="Arial"/>
        <family val="2"/>
      </rPr>
      <t>Các điều khoản và điều kiện của các khoản vay ưu đãi của ADB</t>
    </r>
  </si>
  <si>
    <r>
      <t xml:space="preserve">Group A (CA-only): Project Loans
</t>
    </r>
    <r>
      <rPr>
        <i/>
        <sz val="11"/>
        <color rgb="FF333333"/>
        <rFont val="Segoe UI"/>
        <family val="2"/>
      </rPr>
      <t>Nhóm A (chỉ CA): Cho vay dự án</t>
    </r>
  </si>
  <si>
    <r>
      <t xml:space="preserve">Group A (CA-only): Policy-based Loans
</t>
    </r>
    <r>
      <rPr>
        <i/>
        <sz val="11"/>
        <color rgb="FF333333"/>
        <rFont val="Segoe UI"/>
        <family val="2"/>
      </rPr>
      <t>Nhóm A (chỉ CA): Các khoản cho vay dựa trên chính sách</t>
    </r>
  </si>
  <si>
    <r>
      <t xml:space="preserve">Group B (OCR blend)
</t>
    </r>
    <r>
      <rPr>
        <i/>
        <sz val="11"/>
        <color rgb="FF333333"/>
        <rFont val="Segoe UI"/>
        <family val="2"/>
      </rPr>
      <t>Nhóm B (hỗn hợp OCR)</t>
    </r>
  </si>
  <si>
    <r>
      <t xml:space="preserve">Emergency Assistance Loans
</t>
    </r>
    <r>
      <rPr>
        <i/>
        <sz val="11"/>
        <color rgb="FF333333"/>
        <rFont val="Segoe UI"/>
        <family val="2"/>
      </rPr>
      <t>Các khoản cho vay hỗ trợ khẩn cấp</t>
    </r>
  </si>
  <si>
    <r>
      <t xml:space="preserve">Grace Period
</t>
    </r>
    <r>
      <rPr>
        <b/>
        <i/>
        <sz val="11"/>
        <color rgb="FF333333"/>
        <rFont val="Segoe UI"/>
        <family val="2"/>
      </rPr>
      <t>Thời gian ân hạn</t>
    </r>
  </si>
  <si>
    <r>
      <t xml:space="preserve">Interest
</t>
    </r>
    <r>
      <rPr>
        <b/>
        <i/>
        <sz val="11"/>
        <color rgb="FF333333"/>
        <rFont val="Segoe UI"/>
        <family val="2"/>
      </rPr>
      <t>Lãi</t>
    </r>
  </si>
  <si>
    <r>
      <t xml:space="preserve">Other Features
</t>
    </r>
    <r>
      <rPr>
        <b/>
        <i/>
        <sz val="11"/>
        <color rgb="FF333333"/>
        <rFont val="Segoe UI"/>
        <family val="2"/>
      </rPr>
      <t>Các tính năng khác</t>
    </r>
  </si>
  <si>
    <t>Maturity
Trưởng thành/ Đến kỳ hạn</t>
  </si>
  <si>
    <r>
      <t xml:space="preserve">1% during the grace period
</t>
    </r>
    <r>
      <rPr>
        <i/>
        <sz val="11"/>
        <color rgb="FF333333"/>
        <rFont val="Segoe UI"/>
        <family val="2"/>
      </rPr>
      <t>1% trong thời gian gia hạn</t>
    </r>
  </si>
  <si>
    <t>1.5% during the amortization period
1,5% trong thời kỳ khấu hao</t>
  </si>
  <si>
    <r>
      <t xml:space="preserve">Equal amortization; No commitment fee
</t>
    </r>
    <r>
      <rPr>
        <i/>
        <sz val="11"/>
        <color rgb="FF333333"/>
        <rFont val="Segoe UI"/>
        <family val="2"/>
      </rPr>
      <t>Phân bổ đều; Không có phí cam kết</t>
    </r>
  </si>
  <si>
    <t xml:space="preserve">Average loan maturity is the average number of years to repay, weighted by repayment amounts. For example, a 20-year loan with 2 equal repayments in years 10 and 20 will have an average maturity of 15 years (10 x 50% + 20 x 50%).
</t>
  </si>
  <si>
    <r>
      <t xml:space="preserve">* Determined semi-annually. This margin is applicable to outstanding OCR FLP sovereign loans from 1 January to 30 June 2022.
</t>
    </r>
    <r>
      <rPr>
        <i/>
        <sz val="11"/>
        <rFont val="Arial"/>
        <family val="2"/>
      </rPr>
      <t>* Định kỳ nửa năm một lần. Biên độ này được áp dụng cho các khoản vay có chủ quyền OCR FLP chưa thanh toán từ ngày 1 tháng 1 đến ngày 30 tháng 6 năm 2022.</t>
    </r>
  </si>
  <si>
    <r>
      <t xml:space="preserve">Notes: FLPs have a maximum average maturity limit of 19 years. C0 refers to groups receiving zero maturity premium which include small island developing states below the IBRD income cutoff and new regular ordinary capital resources-only members in transition.
</t>
    </r>
    <r>
      <rPr>
        <i/>
        <sz val="11"/>
        <rFont val="Arial"/>
        <family val="2"/>
      </rPr>
      <t>Lưu ý: Các FLP có thời hạn đáo hạn trung bình tối đa là 19 năm. C0 đề cập đến các nhóm nhận phí bảo hiểm khi đáo hạn bằng 0, bao gồm các quốc đảo nhỏ đang phát triển dưới ngưỡng giới hạn thu nhập IBRD và các thành viên mới thường xuyên chỉ sử dụng nguồn vốn thông thường trong quá trình chuyển đổi.</t>
    </r>
    <r>
      <rPr>
        <sz val="11"/>
        <rFont val="Arial"/>
        <family val="2"/>
      </rPr>
      <t xml:space="preserve">
</t>
    </r>
  </si>
  <si>
    <t>Lãi suất thả nổi</t>
  </si>
  <si>
    <t>Lãi suất cố định</t>
  </si>
  <si>
    <t>Tùy chọn</t>
  </si>
  <si>
    <t>Lãi suất tài trợ qua đêm có bảo đảm (SOFR) - lãi suất dựa trên (% mỗi năm)</t>
  </si>
  <si>
    <t>Chênh lệch hợp đồng hiệu quả (% mỗi năm)</t>
  </si>
  <si>
    <t>Phụ phí trên Biên chi phí tài trợ (% mỗi năm)</t>
  </si>
  <si>
    <t>Phí bảo hiểm đáo hạn (% mỗi năm)</t>
  </si>
  <si>
    <t>Tổng phí vay (% hàng năm, trên tổng số dư nợ)</t>
  </si>
  <si>
    <t>Phí cam kết (% mỗi năm, trên tổng số tiền vay chưa giải ngân)</t>
  </si>
  <si>
    <t>Tùy chọn 1: Lãi suất thả nổi (điều chỉnh 2 ngày một lần)</t>
  </si>
  <si>
    <t>Tùy chọn 2: Tỷ lệ hoán đổi cố định trong 30 năm</t>
  </si>
  <si>
    <t>(1)</t>
  </si>
  <si>
    <t>(2)</t>
  </si>
  <si>
    <t>(3)</t>
  </si>
  <si>
    <t>(4)</t>
  </si>
  <si>
    <t>(5)</t>
  </si>
  <si>
    <t>(6)</t>
  </si>
  <si>
    <t>Số liệu cập nhật tại thời điểm ngày 07/4/2022, nguồn: https://www.adb.org/what-we-do/public-sector-financing/lending-policies-rates</t>
  </si>
  <si>
    <t>USD</t>
  </si>
  <si>
    <t>(Kèm theo Văn bản số             /UBND-KT ngày       tháng 4 năm 2022 của UBND tỉnh Quảng Trị)</t>
  </si>
  <si>
    <t>Phụ phí trên Biên chi phí tài trợ (%/năm)</t>
  </si>
  <si>
    <t>Phí bảo hiểm đáo hạn (%/năm)</t>
  </si>
  <si>
    <t>Lãi vay tổng cộng (%/năm)</t>
  </si>
  <si>
    <t>Ghi chú:</t>
  </si>
  <si>
    <t xml:space="preserve">1. Lãi suất chuyển đổi cố định; Phí chênh lệch biến đổi; Phụ phí trên Biên chi phí tài trợ; Phí bảo hiểm đáo hạn </t>
  </si>
  <si>
    <r>
      <t xml:space="preserve">Lấy theo ADB tại: </t>
    </r>
    <r>
      <rPr>
        <i/>
        <sz val="14"/>
        <rFont val="Times New Roman"/>
        <family val="1"/>
      </rPr>
      <t>https://www.adb.org/what-we-do/public-sector-financing/lending-policies-rates</t>
    </r>
  </si>
  <si>
    <t>2. Thời hạn vay: 25 năm, Thời gian Ân hạn: 06 năm, theo Biên bản ghi nhớ ngày 25/12/2021 giữa ADB và UBND tỉnh Quảng Trị, UBND tỉnh Phú Yên.</t>
  </si>
  <si>
    <t>3. Phí quản lý cho vay lại trả cho Bộ tài chính (Nghị định 97/2018/NĐ-CP): 0,25%/dư nợ/năm</t>
  </si>
  <si>
    <t>(Theo phương án lãi suất thả nổi trong thời gian ân hạn và thời gian trả nợ (lãi suất thả nổi điều chỉnh 2 ngày/lần))</t>
  </si>
  <si>
    <t>5. Dự kiến lãi suất thả nổi không thay đổi. Sau khi trao đổi với ADB thì trong quá trình thực hiện có thể điều chỉnh từ lãi suất thả nổi sang lãi suất cố định.</t>
  </si>
  <si>
    <t>Lãi suất Tài trợ qua đêm có Bảo đảm (SOFR) (%/năm)</t>
  </si>
  <si>
    <t>4. Phương thức trả nợ gốc: lựa chọn phương thức trả nợ đều: Mỗi năm trả 1 khoản cố định: 315.789 USD và trả theo bán niên.</t>
  </si>
  <si>
    <t>6 năm ân hạn</t>
  </si>
  <si>
    <t>19 năm</t>
  </si>
  <si>
    <t>Trả nợ lãi</t>
  </si>
  <si>
    <t>Trả phí cam kết (0,15% số tiền chưa giải ngân)</t>
  </si>
  <si>
    <t>Phí quản lý cho vay lại (0,25% dư nợ)</t>
  </si>
  <si>
    <t>(17)=
(13)*(6)</t>
  </si>
  <si>
    <t>(18)=
(14)*6</t>
  </si>
  <si>
    <t>(19)=
(15)*(7)</t>
  </si>
  <si>
    <t>(13)=(9)+
(10)+(11)
+(12)</t>
  </si>
  <si>
    <t>(20)=(16)+
(17)+(18)+
(19)</t>
  </si>
  <si>
    <t>(Theo phương án lãi suất cố định trong thời gian ân hạn và thời gian trả nợ</t>
  </si>
  <si>
    <t>Đơn vị: Triệu đồng</t>
  </si>
  <si>
    <t>Nguyên tệ
 (USD)</t>
  </si>
  <si>
    <t>Quy VND</t>
  </si>
  <si>
    <t>Gốc</t>
  </si>
  <si>
    <t>Lãi</t>
  </si>
  <si>
    <t>Phí QLCVL</t>
  </si>
  <si>
    <t>Tổng</t>
  </si>
  <si>
    <t>A</t>
  </si>
  <si>
    <t>B</t>
  </si>
  <si>
    <t>9=1+3-4</t>
  </si>
  <si>
    <t>Tổng số</t>
  </si>
  <si>
    <t>I</t>
  </si>
  <si>
    <t>Vay phát hành trái phiếu chính quyền địa phương</t>
  </si>
  <si>
    <t>II</t>
  </si>
  <si>
    <t>Tạm ứng ngân quỹ nhà nước</t>
  </si>
  <si>
    <t>III</t>
  </si>
  <si>
    <t xml:space="preserve">Vay các tổ chức tài chính, tín dụng </t>
  </si>
  <si>
    <t>IV</t>
  </si>
  <si>
    <t xml:space="preserve">Vay lại vốn vay nước ngoài </t>
  </si>
  <si>
    <t>Dự án ĐTXD "Phát triển cơ sở hạ tầng du lịch hỗ trợ cho tăng trưởng toàn diện khu vực tiểu vùng Mê Kông mở rộng giai đoạn 2" - TDA tỉnh Quảng Trị</t>
  </si>
  <si>
    <t>Dự án Tăng cường quản lý đất đai và cơ sở dữ liệu đất đai tỉnh Quảng Trị (DA VILG)</t>
  </si>
  <si>
    <t>Dự án Xây dựng cầu dân sinh và quản lý tài sản đường địa phương (DA LRAMP)</t>
  </si>
  <si>
    <t>V</t>
  </si>
  <si>
    <t xml:space="preserve">Vay các tổ chức khác </t>
  </si>
  <si>
    <t>Phí còn lại</t>
  </si>
  <si>
    <t>Phí QL</t>
  </si>
  <si>
    <t>LRAMP</t>
  </si>
  <si>
    <t>WB8</t>
  </si>
  <si>
    <t>VILG</t>
  </si>
  <si>
    <t>FMCR</t>
  </si>
  <si>
    <t>YTTCS</t>
  </si>
  <si>
    <t>GMS</t>
  </si>
  <si>
    <t>TỔNG HỢP TÌNH HÌNH TRẢ NỢ VỐN VAY LẠI TRÊN THU NGÂN SÁCH ĐỊA PHƯƠNG ĐƯỢC HƯỞNG 
NĂM:  2019, 2020 và 2021</t>
  </si>
  <si>
    <t>PHỤ LỤC 03.2</t>
  </si>
  <si>
    <t>Lãi suất thả nổi tham chiếu theo SOFR ngày 20/4/2022 (%/năm)</t>
  </si>
  <si>
    <t>Chênh lệch lãi suất (%/năm)</t>
  </si>
  <si>
    <t>Phí huy động vốn  (%/năm)</t>
  </si>
  <si>
    <t>Phụ phí theo kỳ hạn (%/năm)</t>
  </si>
  <si>
    <t>PHỤ LỤC 03</t>
  </si>
  <si>
    <t>BÁO CÁO TÌNH HÌNH VAY VÀ TRẢ NỢ CỦA CHÍNH QUYỀN ĐỊA PHƯƠNG NĂM 2022</t>
  </si>
  <si>
    <t>Dự án Sửa chữa và nâng cao an toàn đập (WB8), tỉnh Quảng Trị</t>
  </si>
  <si>
    <t>Dự án Hiện đại hóa ngành lâm nghiệp và tăng cường tính chống chịu vùng ven biển (FMCR)</t>
  </si>
  <si>
    <t>ĐTXD và phát triển hệ thống cung ứng dịch vụ y tế tuyến cơ sở</t>
  </si>
  <si>
    <t>Dự án Hạ tầng cơ bản cho phát triển toàn diện tỉnh Quảng Trị (BIIG 2)</t>
  </si>
  <si>
    <t>Dự án Phát triển các đô thị dọc hành lang tiểu vùng sông Mekông, hợp phần tỉnh Quảng Trị, phần vốn kết dư (GMS)</t>
  </si>
  <si>
    <t>+ Áp dụng tỷ giá hạch toán ngân sách nhà nước do Bộ Tài chính công bố tháng 6/2022:</t>
  </si>
  <si>
    <t>Dư nợ đầu kỳ (01/01/2022)</t>
  </si>
  <si>
    <r>
      <t xml:space="preserve">Vay trong kỳ
</t>
    </r>
    <r>
      <rPr>
        <i/>
        <sz val="12"/>
        <color theme="1"/>
        <rFont val="Times New Roman"/>
        <family val="1"/>
      </rPr>
      <t>(số liệu cập nhật đến ngày 15/6/2022)</t>
    </r>
  </si>
  <si>
    <r>
      <t xml:space="preserve">Trả nợ trong năm
</t>
    </r>
    <r>
      <rPr>
        <i/>
        <sz val="12"/>
        <color theme="1"/>
        <rFont val="Times New Roman"/>
        <family val="1"/>
      </rPr>
      <t>(số liệu cập nhật đến ngày 15/6/2022</t>
    </r>
  </si>
  <si>
    <t>Dư nợ đến 15/6/2022</t>
  </si>
  <si>
    <t>Phí</t>
  </si>
  <si>
    <t>(Kèm theo Văn bản số             /UBND-KT ngày       tháng 7 năm 2022 của UBND tỉnh Quảng Trị)</t>
  </si>
  <si>
    <t>Trả lãi, phí 2023</t>
  </si>
  <si>
    <t>Trả lãi, phí 2024</t>
  </si>
  <si>
    <t>Trả lãi, phí 2025</t>
  </si>
  <si>
    <t>2023</t>
  </si>
  <si>
    <t>2024</t>
  </si>
  <si>
    <t>Năm</t>
  </si>
  <si>
    <t>Lãi phí</t>
  </si>
  <si>
    <t>Rút vốn</t>
  </si>
  <si>
    <t>4. Phương thức trả nợ gốc: lựa chọn phương thức trả nợ đều: Mỗi năm trả 1 khoản cố định: 316.000 USD và trả theo bán niên, riêng năm 2048 là 308.000 USD</t>
  </si>
  <si>
    <t>(Kèm theo Văn bản số          /BQLDA-KHTH ngày 12 tháng 9 năm 2022 của Ban QLDA đầu tư xây dựng tỉnh Quảng Trị)</t>
  </si>
  <si>
    <t>(Kèm theo Tờ trình số             /TTr-UBND ngày       tháng 9 năm 2022 của UBND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</si>
</sst>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_(* \(#,##0\);_(* &quot;-&quot;??_);_(@_)"/>
    <numFmt numFmtId="165" formatCode="0.000"/>
    <numFmt numFmtId="166" formatCode="0.00000"/>
    <numFmt numFmtId="167" formatCode="0.0000"/>
    <numFmt numFmtId="168" formatCode="\(General\)"/>
    <numFmt numFmtId="169" formatCode="0.000%"/>
    <numFmt numFmtId="170" formatCode="_(* #,##0.0_);_(* \(#,##0.0\);_(* &quot;-&quot;??_);_(@_)"/>
    <numFmt numFmtId="171" formatCode="#,##0.000"/>
  </numFmts>
  <fonts count="36" x14ac:knownFonts="1">
    <font>
      <sz val="10"/>
      <name val="Arial"/>
    </font>
    <font>
      <b/>
      <sz val="12"/>
      <name val="Times New Roman"/>
      <family val="1"/>
    </font>
    <font>
      <sz val="12"/>
      <name val="Times New Roman"/>
      <family val="1"/>
    </font>
    <font>
      <i/>
      <sz val="12"/>
      <name val="Times New Roman"/>
      <family val="1"/>
    </font>
    <font>
      <b/>
      <i/>
      <sz val="12"/>
      <name val="Times New Roman"/>
      <family val="1"/>
    </font>
    <font>
      <sz val="10"/>
      <name val="Arial"/>
      <family val="2"/>
    </font>
    <font>
      <sz val="11"/>
      <color indexed="8"/>
      <name val="Calibri"/>
      <family val="2"/>
    </font>
    <font>
      <sz val="11"/>
      <name val="Times New Roman"/>
      <family val="1"/>
    </font>
    <font>
      <b/>
      <sz val="11"/>
      <color rgb="FF333333"/>
      <name val="Segoe UI"/>
      <family val="2"/>
    </font>
    <font>
      <sz val="11"/>
      <color rgb="FF333333"/>
      <name val="Segoe UI"/>
      <family val="2"/>
    </font>
    <font>
      <b/>
      <sz val="10"/>
      <name val="Arial"/>
      <family val="2"/>
    </font>
    <font>
      <sz val="10"/>
      <name val="Arial"/>
      <family val="2"/>
    </font>
    <font>
      <b/>
      <i/>
      <sz val="11"/>
      <color rgb="FF333333"/>
      <name val="Segoe UI"/>
      <family val="2"/>
    </font>
    <font>
      <i/>
      <sz val="11"/>
      <color rgb="FF333333"/>
      <name val="Segoe UI"/>
      <family val="2"/>
    </font>
    <font>
      <b/>
      <sz val="11"/>
      <name val="Arial"/>
      <family val="2"/>
    </font>
    <font>
      <b/>
      <i/>
      <sz val="11"/>
      <name val="Arial"/>
      <family val="2"/>
    </font>
    <font>
      <sz val="11"/>
      <name val="Arial"/>
      <family val="2"/>
    </font>
    <font>
      <i/>
      <sz val="11"/>
      <name val="Arial"/>
      <family val="2"/>
    </font>
    <font>
      <sz val="12"/>
      <color rgb="FFFF0000"/>
      <name val="Times New Roman"/>
      <family val="1"/>
    </font>
    <font>
      <sz val="14"/>
      <name val="Times New Roman"/>
      <family val="1"/>
    </font>
    <font>
      <i/>
      <sz val="14"/>
      <name val="Times New Roman"/>
      <family val="1"/>
    </font>
    <font>
      <b/>
      <sz val="12"/>
      <color rgb="FFFF0000"/>
      <name val="Times New Roman"/>
      <family val="1"/>
    </font>
    <font>
      <sz val="11"/>
      <color theme="1"/>
      <name val="Times New Roman"/>
      <family val="1"/>
    </font>
    <font>
      <b/>
      <sz val="11"/>
      <color theme="1"/>
      <name val="Times New Roman"/>
      <family val="1"/>
    </font>
    <font>
      <b/>
      <sz val="14"/>
      <color theme="1"/>
      <name val="Times New Roman"/>
      <family val="1"/>
    </font>
    <font>
      <i/>
      <sz val="12"/>
      <color theme="1"/>
      <name val="Times New Roman"/>
      <family val="1"/>
    </font>
    <font>
      <b/>
      <sz val="12"/>
      <color theme="1"/>
      <name val="Times New Roman"/>
      <family val="1"/>
    </font>
    <font>
      <sz val="12"/>
      <color theme="1"/>
      <name val="Calibri"/>
      <family val="2"/>
      <scheme val="minor"/>
    </font>
    <font>
      <i/>
      <sz val="10"/>
      <color theme="1"/>
      <name val="Times New Roman"/>
      <family val="1"/>
    </font>
    <font>
      <i/>
      <sz val="10"/>
      <color theme="1"/>
      <name val="Calibri"/>
      <family val="2"/>
      <scheme val="minor"/>
    </font>
    <font>
      <sz val="12"/>
      <color theme="1"/>
      <name val="Times New Roman"/>
      <family val="1"/>
    </font>
    <font>
      <b/>
      <sz val="11"/>
      <color theme="1"/>
      <name val="Calibri"/>
      <family val="2"/>
      <scheme val="minor"/>
    </font>
    <font>
      <sz val="12"/>
      <color rgb="FF000000"/>
      <name val="Times New Roman"/>
      <family val="1"/>
    </font>
    <font>
      <b/>
      <i/>
      <sz val="12"/>
      <color theme="1"/>
      <name val="Times New Roman"/>
      <family val="1"/>
    </font>
    <font>
      <i/>
      <sz val="11"/>
      <color rgb="FFFF0000"/>
      <name val="Times New Roman"/>
      <family val="1"/>
    </font>
    <font>
      <i/>
      <sz val="11"/>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43" fontId="5" fillId="0" borderId="0" applyFont="0" applyFill="0" applyBorder="0" applyAlignment="0" applyProtection="0"/>
    <xf numFmtId="43" fontId="6" fillId="0" borderId="6" applyFont="0" applyFill="0" applyBorder="0" applyAlignment="0" applyProtection="0"/>
    <xf numFmtId="9" fontId="5" fillId="0" borderId="0" applyFont="0" applyFill="0" applyBorder="0" applyAlignment="0" applyProtection="0"/>
    <xf numFmtId="0" fontId="5" fillId="0" borderId="6"/>
    <xf numFmtId="43" fontId="5" fillId="0" borderId="6" applyFont="0" applyFill="0" applyBorder="0" applyAlignment="0" applyProtection="0"/>
    <xf numFmtId="9" fontId="5" fillId="0" borderId="6" applyFont="0" applyFill="0" applyBorder="0" applyAlignment="0" applyProtection="0"/>
  </cellStyleXfs>
  <cellXfs count="205">
    <xf numFmtId="0" fontId="0" fillId="0" borderId="0" xfId="0"/>
    <xf numFmtId="0" fontId="2" fillId="0" borderId="0" xfId="0" applyFont="1"/>
    <xf numFmtId="0" fontId="2" fillId="0" borderId="7" xfId="0" applyFont="1" applyBorder="1" applyAlignment="1">
      <alignment horizontal="left" vertical="center"/>
    </xf>
    <xf numFmtId="0" fontId="1" fillId="0" borderId="1"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5" xfId="0" applyFont="1" applyBorder="1" applyAlignment="1">
      <alignment vertical="center"/>
    </xf>
    <xf numFmtId="0" fontId="2" fillId="0" borderId="6" xfId="0" applyFont="1" applyBorder="1" applyAlignment="1">
      <alignment vertical="center"/>
    </xf>
    <xf numFmtId="0" fontId="1" fillId="0" borderId="6" xfId="0" applyFont="1" applyBorder="1" applyAlignment="1">
      <alignment vertical="center"/>
    </xf>
    <xf numFmtId="0" fontId="2" fillId="0" borderId="6" xfId="0" applyFont="1" applyBorder="1" applyAlignment="1">
      <alignment horizontal="right" vertical="center"/>
    </xf>
    <xf numFmtId="0" fontId="1" fillId="0" borderId="7" xfId="0" applyFont="1" applyBorder="1" applyAlignment="1">
      <alignment horizontal="center" vertical="center"/>
    </xf>
    <xf numFmtId="0" fontId="1" fillId="0" borderId="6" xfId="0" applyFont="1" applyFill="1" applyBorder="1" applyAlignment="1">
      <alignment vertical="top"/>
    </xf>
    <xf numFmtId="0" fontId="2" fillId="0" borderId="6" xfId="0" applyFont="1" applyFill="1" applyBorder="1"/>
    <xf numFmtId="0" fontId="2" fillId="0" borderId="6" xfId="0" applyFont="1" applyFill="1" applyBorder="1" applyAlignment="1">
      <alignment horizontal="left"/>
    </xf>
    <xf numFmtId="0" fontId="2" fillId="0" borderId="0" xfId="0" applyFont="1" applyFill="1"/>
    <xf numFmtId="0" fontId="2"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0" xfId="0" applyFont="1" applyFill="1" applyAlignment="1">
      <alignment vertical="top"/>
    </xf>
    <xf numFmtId="3" fontId="2" fillId="0" borderId="0" xfId="0" applyNumberFormat="1" applyFont="1" applyFill="1"/>
    <xf numFmtId="3" fontId="1" fillId="0" borderId="0" xfId="0" applyNumberFormat="1" applyFont="1" applyFill="1"/>
    <xf numFmtId="164" fontId="2" fillId="0" borderId="0" xfId="0" applyNumberFormat="1" applyFont="1" applyFill="1"/>
    <xf numFmtId="164" fontId="2" fillId="0" borderId="0" xfId="0" applyNumberFormat="1" applyFont="1" applyFill="1" applyAlignment="1">
      <alignment horizontal="right"/>
    </xf>
    <xf numFmtId="0" fontId="2" fillId="0" borderId="7" xfId="0" applyFont="1" applyBorder="1" applyAlignment="1">
      <alignment horizontal="left" vertical="center" wrapText="1"/>
    </xf>
    <xf numFmtId="0" fontId="3" fillId="0" borderId="6" xfId="0" applyFont="1" applyFill="1" applyBorder="1" applyAlignment="1">
      <alignment horizontal="right" vertical="top"/>
    </xf>
    <xf numFmtId="0" fontId="1" fillId="0" borderId="8" xfId="0" applyFont="1" applyFill="1" applyBorder="1" applyAlignment="1"/>
    <xf numFmtId="0" fontId="2" fillId="0" borderId="8" xfId="0" applyFont="1" applyFill="1" applyBorder="1" applyAlignment="1"/>
    <xf numFmtId="164" fontId="7" fillId="0" borderId="6" xfId="2" applyNumberFormat="1" applyFont="1"/>
    <xf numFmtId="0" fontId="2" fillId="0" borderId="9" xfId="0" applyFont="1" applyFill="1" applyBorder="1" applyAlignment="1">
      <alignment horizontal="center"/>
    </xf>
    <xf numFmtId="14" fontId="2" fillId="0" borderId="9" xfId="0" applyNumberFormat="1" applyFont="1" applyFill="1" applyBorder="1"/>
    <xf numFmtId="3" fontId="2" fillId="0" borderId="9" xfId="0" applyNumberFormat="1" applyFont="1" applyFill="1" applyBorder="1" applyAlignment="1">
      <alignment horizontal="right"/>
    </xf>
    <xf numFmtId="0" fontId="2" fillId="0" borderId="9" xfId="0" applyFont="1" applyFill="1" applyBorder="1" applyAlignment="1">
      <alignment horizontal="left" vertical="top"/>
    </xf>
    <xf numFmtId="165" fontId="2" fillId="0" borderId="9" xfId="0" applyNumberFormat="1" applyFont="1" applyFill="1" applyBorder="1" applyAlignment="1">
      <alignment horizontal="center"/>
    </xf>
    <xf numFmtId="0" fontId="2" fillId="0" borderId="9" xfId="0" applyFont="1" applyFill="1" applyBorder="1" applyAlignment="1">
      <alignment horizontal="left" vertical="top" indent="1"/>
    </xf>
    <xf numFmtId="43" fontId="2" fillId="0" borderId="9" xfId="1" applyFont="1" applyFill="1" applyBorder="1" applyAlignment="1">
      <alignment horizontal="right"/>
    </xf>
    <xf numFmtId="0" fontId="2" fillId="0" borderId="9" xfId="0" applyFont="1" applyFill="1" applyBorder="1" applyAlignment="1">
      <alignment horizontal="right"/>
    </xf>
    <xf numFmtId="43" fontId="2" fillId="0" borderId="9" xfId="1" applyFont="1" applyFill="1" applyBorder="1" applyAlignment="1">
      <alignment horizontal="center"/>
    </xf>
    <xf numFmtId="0" fontId="2" fillId="0" borderId="9" xfId="0" applyFont="1" applyFill="1" applyBorder="1" applyAlignment="1">
      <alignment horizontal="left"/>
    </xf>
    <xf numFmtId="0" fontId="1" fillId="0" borderId="9" xfId="0" applyFont="1" applyFill="1" applyBorder="1" applyAlignment="1"/>
    <xf numFmtId="0" fontId="2" fillId="0" borderId="9" xfId="0" applyFont="1" applyFill="1" applyBorder="1" applyAlignment="1"/>
    <xf numFmtId="14" fontId="2" fillId="0" borderId="9" xfId="0" applyNumberFormat="1" applyFont="1" applyFill="1" applyBorder="1" applyAlignment="1">
      <alignment horizontal="justify"/>
    </xf>
    <xf numFmtId="2" fontId="2" fillId="0" borderId="9" xfId="0" applyNumberFormat="1" applyFont="1" applyFill="1" applyBorder="1" applyAlignment="1">
      <alignment horizontal="center"/>
    </xf>
    <xf numFmtId="0" fontId="2" fillId="0" borderId="9" xfId="0" applyFont="1" applyFill="1" applyBorder="1" applyAlignment="1">
      <alignment horizontal="left" vertical="top" indent="2"/>
    </xf>
    <xf numFmtId="0" fontId="2" fillId="0" borderId="10" xfId="0" applyFont="1" applyFill="1" applyBorder="1" applyAlignment="1">
      <alignment horizontal="center"/>
    </xf>
    <xf numFmtId="0" fontId="2" fillId="0" borderId="10" xfId="0" applyFont="1" applyFill="1" applyBorder="1" applyAlignment="1">
      <alignment horizontal="left" vertical="top"/>
    </xf>
    <xf numFmtId="0" fontId="2" fillId="0" borderId="10" xfId="0" applyFont="1" applyFill="1" applyBorder="1" applyAlignment="1">
      <alignment horizontal="left" vertical="top" indent="1"/>
    </xf>
    <xf numFmtId="3" fontId="1" fillId="0" borderId="10" xfId="0" applyNumberFormat="1" applyFont="1" applyFill="1" applyBorder="1" applyAlignment="1">
      <alignment horizontal="right"/>
    </xf>
    <xf numFmtId="2" fontId="1" fillId="0" borderId="10" xfId="0" applyNumberFormat="1" applyFont="1" applyFill="1" applyBorder="1" applyAlignment="1">
      <alignment horizontal="center"/>
    </xf>
    <xf numFmtId="0" fontId="2" fillId="0" borderId="10" xfId="0" applyFont="1" applyFill="1" applyBorder="1" applyAlignment="1">
      <alignment horizontal="left" vertical="top" indent="2"/>
    </xf>
    <xf numFmtId="0" fontId="8" fillId="2" borderId="7" xfId="0" applyFont="1" applyFill="1" applyBorder="1" applyAlignment="1">
      <alignment horizontal="center" vertical="top" wrapText="1"/>
    </xf>
    <xf numFmtId="0" fontId="8" fillId="2" borderId="7" xfId="0" applyFont="1" applyFill="1" applyBorder="1" applyAlignment="1">
      <alignment horizontal="left" vertical="top" wrapText="1"/>
    </xf>
    <xf numFmtId="0" fontId="9" fillId="2" borderId="7" xfId="0" applyFont="1" applyFill="1" applyBorder="1" applyAlignment="1">
      <alignment horizontal="left" vertical="top" wrapText="1"/>
    </xf>
    <xf numFmtId="0" fontId="11" fillId="0" borderId="0" xfId="0" applyFont="1"/>
    <xf numFmtId="0" fontId="14" fillId="0" borderId="0" xfId="0" applyFont="1" applyAlignment="1">
      <alignment wrapText="1"/>
    </xf>
    <xf numFmtId="0" fontId="16" fillId="0" borderId="0" xfId="0" applyFont="1"/>
    <xf numFmtId="0" fontId="14" fillId="2" borderId="7" xfId="0" applyFont="1" applyFill="1" applyBorder="1" applyAlignment="1">
      <alignment horizontal="center" vertical="top" wrapText="1"/>
    </xf>
    <xf numFmtId="0" fontId="16" fillId="2" borderId="7" xfId="0" applyFont="1" applyFill="1" applyBorder="1" applyAlignment="1">
      <alignment horizontal="center" vertical="top" wrapText="1"/>
    </xf>
    <xf numFmtId="0" fontId="17" fillId="0" borderId="0" xfId="0" applyFont="1"/>
    <xf numFmtId="0" fontId="16" fillId="2" borderId="7" xfId="0" applyFont="1" applyFill="1" applyBorder="1"/>
    <xf numFmtId="0" fontId="16" fillId="0" borderId="0" xfId="0" applyFont="1" applyAlignment="1">
      <alignment wrapText="1"/>
    </xf>
    <xf numFmtId="0" fontId="16" fillId="0" borderId="0" xfId="0" applyFont="1" applyAlignment="1">
      <alignment vertical="center" wrapText="1"/>
    </xf>
    <xf numFmtId="17" fontId="16" fillId="0" borderId="0" xfId="0" applyNumberFormat="1" applyFont="1"/>
    <xf numFmtId="0" fontId="11" fillId="0" borderId="7" xfId="0" applyFont="1" applyBorder="1" applyAlignment="1">
      <alignment horizontal="left" vertical="center" wrapText="1" indent="2"/>
    </xf>
    <xf numFmtId="0" fontId="11" fillId="0" borderId="7" xfId="0" applyFont="1" applyBorder="1" applyAlignment="1">
      <alignment horizontal="center" vertical="center" wrapText="1"/>
    </xf>
    <xf numFmtId="0" fontId="11" fillId="0" borderId="7" xfId="0" applyFont="1" applyBorder="1" applyAlignment="1">
      <alignment vertical="center" wrapText="1"/>
    </xf>
    <xf numFmtId="0" fontId="10" fillId="0" borderId="7" xfId="0" applyFont="1" applyBorder="1" applyAlignment="1">
      <alignment horizontal="left" vertical="center" wrapText="1" indent="2"/>
    </xf>
    <xf numFmtId="0" fontId="11" fillId="0" borderId="7" xfId="0" quotePrefix="1" applyFont="1" applyBorder="1" applyAlignment="1">
      <alignment horizontal="center" vertical="center" wrapText="1"/>
    </xf>
    <xf numFmtId="0" fontId="11" fillId="0" borderId="0" xfId="0" applyFont="1" applyAlignment="1">
      <alignment vertical="center"/>
    </xf>
    <xf numFmtId="166" fontId="11" fillId="0" borderId="7"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6" fontId="10" fillId="0" borderId="7"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168" fontId="3" fillId="0" borderId="11" xfId="0" applyNumberFormat="1" applyFont="1" applyFill="1" applyBorder="1" applyAlignment="1">
      <alignment horizontal="center" vertical="center" wrapText="1"/>
    </xf>
    <xf numFmtId="164" fontId="19" fillId="0" borderId="6" xfId="1" applyNumberFormat="1" applyFont="1" applyFill="1" applyBorder="1" applyAlignment="1">
      <alignment vertical="center"/>
    </xf>
    <xf numFmtId="164" fontId="19" fillId="0" borderId="6" xfId="0" applyNumberFormat="1" applyFont="1" applyFill="1" applyBorder="1" applyAlignment="1">
      <alignment vertical="center"/>
    </xf>
    <xf numFmtId="10" fontId="19" fillId="0" borderId="6" xfId="3" applyNumberFormat="1" applyFont="1" applyFill="1" applyBorder="1" applyAlignment="1">
      <alignment vertical="center"/>
    </xf>
    <xf numFmtId="10" fontId="19" fillId="0" borderId="6" xfId="3" applyNumberFormat="1" applyFont="1" applyFill="1" applyBorder="1" applyAlignment="1">
      <alignment horizontal="center" vertical="center"/>
    </xf>
    <xf numFmtId="0" fontId="19" fillId="0" borderId="6" xfId="0" applyFont="1" applyFill="1" applyBorder="1" applyAlignment="1">
      <alignment vertical="center"/>
    </xf>
    <xf numFmtId="169" fontId="19" fillId="0" borderId="6" xfId="3" applyNumberFormat="1" applyFont="1" applyFill="1" applyBorder="1" applyAlignment="1">
      <alignment vertical="center"/>
    </xf>
    <xf numFmtId="43" fontId="19" fillId="0" borderId="6" xfId="0" applyNumberFormat="1" applyFont="1" applyFill="1" applyBorder="1" applyAlignment="1">
      <alignment vertical="center"/>
    </xf>
    <xf numFmtId="170" fontId="19" fillId="0" borderId="6" xfId="1" applyNumberFormat="1" applyFont="1" applyFill="1" applyBorder="1" applyAlignment="1">
      <alignment vertical="center"/>
    </xf>
    <xf numFmtId="167" fontId="2" fillId="0" borderId="9" xfId="0" applyNumberFormat="1" applyFont="1" applyFill="1" applyBorder="1" applyAlignment="1">
      <alignment horizontal="center"/>
    </xf>
    <xf numFmtId="0" fontId="2" fillId="0" borderId="0" xfId="0" applyFont="1" applyFill="1" applyAlignment="1">
      <alignment horizontal="right"/>
    </xf>
    <xf numFmtId="3" fontId="21" fillId="0" borderId="0" xfId="0" applyNumberFormat="1" applyFont="1" applyFill="1"/>
    <xf numFmtId="3" fontId="18" fillId="0" borderId="0" xfId="0" applyNumberFormat="1" applyFont="1" applyFill="1"/>
    <xf numFmtId="164" fontId="1" fillId="0" borderId="0" xfId="0" applyNumberFormat="1" applyFont="1" applyFill="1" applyAlignment="1">
      <alignment horizontal="right"/>
    </xf>
    <xf numFmtId="3" fontId="1" fillId="3" borderId="0" xfId="0" applyNumberFormat="1" applyFont="1" applyFill="1"/>
    <xf numFmtId="3" fontId="18" fillId="3" borderId="0" xfId="0" applyNumberFormat="1" applyFont="1" applyFill="1"/>
    <xf numFmtId="0" fontId="1" fillId="0" borderId="7" xfId="0" applyFont="1" applyFill="1" applyBorder="1" applyAlignment="1">
      <alignment horizontal="center" vertical="center"/>
    </xf>
    <xf numFmtId="43" fontId="2" fillId="0" borderId="0" xfId="1" applyFont="1" applyFill="1"/>
    <xf numFmtId="0" fontId="22" fillId="0" borderId="6" xfId="4" applyFont="1" applyFill="1" applyAlignment="1">
      <alignment vertical="center"/>
    </xf>
    <xf numFmtId="0" fontId="23" fillId="0" borderId="6" xfId="4" applyFont="1" applyFill="1" applyAlignment="1">
      <alignment vertical="center" wrapText="1"/>
    </xf>
    <xf numFmtId="171" fontId="22" fillId="0" borderId="6" xfId="4" applyNumberFormat="1" applyFont="1" applyFill="1" applyAlignment="1">
      <alignment vertical="center"/>
    </xf>
    <xf numFmtId="171" fontId="22" fillId="0" borderId="6" xfId="4" applyNumberFormat="1" applyFont="1" applyFill="1" applyAlignment="1">
      <alignment horizontal="center" vertical="center" wrapText="1"/>
    </xf>
    <xf numFmtId="0" fontId="5" fillId="0" borderId="6" xfId="4" applyFill="1" applyAlignment="1">
      <alignment vertical="center"/>
    </xf>
    <xf numFmtId="171" fontId="5" fillId="0" borderId="6" xfId="4" applyNumberFormat="1" applyFill="1" applyAlignment="1">
      <alignment vertical="center"/>
    </xf>
    <xf numFmtId="0" fontId="27" fillId="0" borderId="6" xfId="4" applyFont="1" applyFill="1" applyAlignment="1">
      <alignment vertical="center"/>
    </xf>
    <xf numFmtId="171" fontId="26" fillId="0" borderId="7" xfId="4" applyNumberFormat="1" applyFont="1" applyFill="1" applyBorder="1" applyAlignment="1">
      <alignment horizontal="center" vertical="center" wrapText="1"/>
    </xf>
    <xf numFmtId="171" fontId="26" fillId="0" borderId="7" xfId="4" applyNumberFormat="1" applyFont="1" applyFill="1" applyBorder="1" applyAlignment="1">
      <alignment horizontal="center" vertical="center"/>
    </xf>
    <xf numFmtId="4" fontId="1" fillId="0" borderId="7" xfId="4" applyNumberFormat="1" applyFont="1" applyFill="1" applyBorder="1" applyAlignment="1">
      <alignment horizontal="center" vertical="center" wrapText="1"/>
    </xf>
    <xf numFmtId="0" fontId="28" fillId="0" borderId="7" xfId="4" applyFont="1" applyFill="1" applyBorder="1" applyAlignment="1">
      <alignment horizontal="center" vertical="center" wrapText="1"/>
    </xf>
    <xf numFmtId="3" fontId="28" fillId="0" borderId="7" xfId="4" applyNumberFormat="1" applyFont="1" applyFill="1" applyBorder="1" applyAlignment="1">
      <alignment horizontal="center" vertical="center" wrapText="1"/>
    </xf>
    <xf numFmtId="171" fontId="28" fillId="0" borderId="7" xfId="4" applyNumberFormat="1" applyFont="1" applyFill="1" applyBorder="1" applyAlignment="1">
      <alignment horizontal="center" vertical="center" wrapText="1"/>
    </xf>
    <xf numFmtId="0" fontId="29" fillId="0" borderId="6" xfId="4" applyFont="1" applyFill="1" applyAlignment="1">
      <alignment vertical="center"/>
    </xf>
    <xf numFmtId="0" fontId="30" fillId="0" borderId="7" xfId="4" applyFont="1" applyFill="1" applyBorder="1" applyAlignment="1">
      <alignment horizontal="center" vertical="center" wrapText="1"/>
    </xf>
    <xf numFmtId="0" fontId="26" fillId="0" borderId="7" xfId="4" applyFont="1" applyFill="1" applyBorder="1" applyAlignment="1">
      <alignment horizontal="center" vertical="center" wrapText="1"/>
    </xf>
    <xf numFmtId="171" fontId="26" fillId="0" borderId="7" xfId="4" applyNumberFormat="1" applyFont="1" applyFill="1" applyBorder="1" applyAlignment="1">
      <alignment horizontal="right" vertical="center" wrapText="1"/>
    </xf>
    <xf numFmtId="0" fontId="26" fillId="0" borderId="7" xfId="4" applyFont="1" applyFill="1" applyBorder="1" applyAlignment="1">
      <alignment horizontal="left" vertical="center" wrapText="1"/>
    </xf>
    <xf numFmtId="171" fontId="30" fillId="0" borderId="7" xfId="4" applyNumberFormat="1" applyFont="1" applyFill="1" applyBorder="1" applyAlignment="1">
      <alignment horizontal="right" vertical="center" wrapText="1"/>
    </xf>
    <xf numFmtId="0" fontId="31" fillId="0" borderId="6" xfId="4" applyFont="1" applyFill="1" applyAlignment="1">
      <alignment vertical="center"/>
    </xf>
    <xf numFmtId="0" fontId="30" fillId="0" borderId="7" xfId="4" applyFont="1" applyFill="1" applyBorder="1" applyAlignment="1">
      <alignment horizontal="left" vertical="center" wrapText="1"/>
    </xf>
    <xf numFmtId="171" fontId="32" fillId="0" borderId="7" xfId="4" applyNumberFormat="1" applyFont="1" applyFill="1" applyBorder="1" applyAlignment="1">
      <alignment vertical="center"/>
    </xf>
    <xf numFmtId="0" fontId="7" fillId="0" borderId="6" xfId="4" applyFont="1" applyFill="1" applyAlignment="1">
      <alignment horizontal="center" vertical="center" wrapText="1"/>
    </xf>
    <xf numFmtId="0" fontId="7" fillId="0" borderId="6" xfId="4" quotePrefix="1" applyFont="1" applyFill="1" applyAlignment="1">
      <alignment vertical="center"/>
    </xf>
    <xf numFmtId="0" fontId="7" fillId="0" borderId="6" xfId="4" applyFont="1" applyFill="1" applyAlignment="1">
      <alignment horizontal="center" vertical="center"/>
    </xf>
    <xf numFmtId="0" fontId="7" fillId="0" borderId="6" xfId="4" applyFont="1" applyFill="1" applyAlignment="1">
      <alignment vertical="center"/>
    </xf>
    <xf numFmtId="3" fontId="7" fillId="0" borderId="6" xfId="5" applyNumberFormat="1" applyFont="1" applyFill="1" applyAlignment="1">
      <alignment horizontal="left" vertical="center"/>
    </xf>
    <xf numFmtId="4" fontId="7" fillId="0" borderId="6" xfId="4" applyNumberFormat="1" applyFont="1" applyFill="1" applyAlignment="1">
      <alignment vertical="center"/>
    </xf>
    <xf numFmtId="4" fontId="34" fillId="0" borderId="6" xfId="4" applyNumberFormat="1" applyFont="1" applyFill="1" applyAlignment="1">
      <alignment vertical="center"/>
    </xf>
    <xf numFmtId="4" fontId="7" fillId="0" borderId="6" xfId="5" applyNumberFormat="1" applyFont="1" applyFill="1" applyAlignment="1">
      <alignment horizontal="left" vertical="center"/>
    </xf>
    <xf numFmtId="4" fontId="35" fillId="0" borderId="6" xfId="4" applyNumberFormat="1" applyFont="1" applyFill="1" applyAlignment="1">
      <alignment horizontal="center" vertical="center" wrapText="1"/>
    </xf>
    <xf numFmtId="0" fontId="35" fillId="0" borderId="6" xfId="4" applyFont="1" applyFill="1" applyAlignment="1">
      <alignment horizontal="center" vertical="center" wrapText="1"/>
    </xf>
    <xf numFmtId="0" fontId="7" fillId="0" borderId="6" xfId="4" applyFont="1" applyFill="1" applyBorder="1" applyAlignment="1">
      <alignment vertical="center"/>
    </xf>
    <xf numFmtId="4" fontId="7" fillId="0" borderId="7" xfId="4" applyNumberFormat="1" applyFont="1" applyFill="1" applyBorder="1" applyAlignment="1">
      <alignment vertical="center"/>
    </xf>
    <xf numFmtId="171" fontId="5" fillId="0" borderId="7" xfId="4" applyNumberFormat="1" applyFill="1" applyBorder="1" applyAlignment="1">
      <alignment vertical="center"/>
    </xf>
    <xf numFmtId="171" fontId="31" fillId="0" borderId="6" xfId="4" applyNumberFormat="1" applyFont="1" applyFill="1" applyAlignment="1">
      <alignment vertical="center"/>
    </xf>
    <xf numFmtId="0" fontId="1" fillId="0" borderId="6" xfId="4" applyFont="1" applyBorder="1" applyAlignment="1">
      <alignment vertical="center"/>
    </xf>
    <xf numFmtId="0" fontId="2" fillId="0" borderId="6" xfId="4" applyFont="1" applyAlignment="1">
      <alignment vertical="center"/>
    </xf>
    <xf numFmtId="0" fontId="2" fillId="0" borderId="6" xfId="4" applyFont="1" applyBorder="1" applyAlignment="1">
      <alignment horizontal="right" vertical="center"/>
    </xf>
    <xf numFmtId="0" fontId="1" fillId="0" borderId="7" xfId="4" applyFont="1" applyBorder="1" applyAlignment="1">
      <alignment horizontal="center" vertical="center"/>
    </xf>
    <xf numFmtId="0" fontId="2" fillId="0" borderId="7" xfId="4" applyFont="1" applyBorder="1" applyAlignment="1">
      <alignment horizontal="center" vertical="center"/>
    </xf>
    <xf numFmtId="0" fontId="2" fillId="0" borderId="7" xfId="4" applyFont="1" applyBorder="1" applyAlignment="1">
      <alignment horizontal="left" vertical="center"/>
    </xf>
    <xf numFmtId="164" fontId="2" fillId="0" borderId="7" xfId="5" applyNumberFormat="1" applyFont="1" applyBorder="1" applyAlignment="1">
      <alignment horizontal="right" vertical="center"/>
    </xf>
    <xf numFmtId="10" fontId="2" fillId="0" borderId="7" xfId="6" applyNumberFormat="1" applyFont="1" applyBorder="1" applyAlignment="1">
      <alignment horizontal="right" vertical="center"/>
    </xf>
    <xf numFmtId="167" fontId="2" fillId="0" borderId="9" xfId="0" applyNumberFormat="1" applyFont="1" applyFill="1" applyBorder="1" applyAlignment="1"/>
    <xf numFmtId="2" fontId="19" fillId="0" borderId="0" xfId="0" quotePrefix="1" applyNumberFormat="1" applyFont="1" applyFill="1" applyAlignment="1">
      <alignment horizontal="left" vertical="center" wrapText="1"/>
    </xf>
    <xf numFmtId="164" fontId="2" fillId="0" borderId="0" xfId="1" applyNumberFormat="1" applyFont="1" applyFill="1"/>
    <xf numFmtId="166" fontId="2" fillId="0" borderId="9" xfId="0" applyNumberFormat="1" applyFont="1" applyFill="1" applyBorder="1" applyAlignment="1">
      <alignment horizontal="center"/>
    </xf>
    <xf numFmtId="166" fontId="2" fillId="0" borderId="9" xfId="0" applyNumberFormat="1" applyFont="1" applyFill="1" applyBorder="1" applyAlignment="1"/>
    <xf numFmtId="164" fontId="0" fillId="0" borderId="0" xfId="1" applyNumberFormat="1" applyFont="1"/>
    <xf numFmtId="164" fontId="0" fillId="0" borderId="0" xfId="0" applyNumberFormat="1"/>
    <xf numFmtId="164" fontId="10" fillId="0" borderId="0" xfId="0" applyNumberFormat="1" applyFont="1"/>
    <xf numFmtId="0" fontId="5" fillId="0" borderId="6" xfId="4" applyFont="1" applyFill="1" applyAlignment="1">
      <alignment vertical="center"/>
    </xf>
    <xf numFmtId="0" fontId="2" fillId="0" borderId="6" xfId="4" applyFont="1" applyBorder="1" applyAlignment="1">
      <alignment vertical="center" wrapText="1"/>
    </xf>
    <xf numFmtId="0" fontId="2" fillId="0" borderId="6" xfId="4" applyFont="1" applyBorder="1" applyAlignment="1">
      <alignment vertical="center"/>
    </xf>
    <xf numFmtId="171" fontId="1" fillId="0" borderId="7" xfId="4" applyNumberFormat="1" applyFont="1" applyFill="1" applyBorder="1" applyAlignment="1">
      <alignment horizontal="right" vertical="center" wrapText="1"/>
    </xf>
    <xf numFmtId="164" fontId="1" fillId="0" borderId="0" xfId="0" applyNumberFormat="1" applyFont="1" applyFill="1"/>
    <xf numFmtId="0" fontId="2" fillId="0" borderId="6" xfId="0" applyFont="1" applyFill="1" applyBorder="1" applyAlignment="1">
      <alignment horizontal="center" vertical="top"/>
    </xf>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2" fontId="19" fillId="0" borderId="0" xfId="0" quotePrefix="1" applyNumberFormat="1" applyFont="1" applyFill="1" applyAlignment="1">
      <alignment horizontal="left" vertical="center" wrapText="1"/>
    </xf>
    <xf numFmtId="3" fontId="2" fillId="0" borderId="7" xfId="0" applyNumberFormat="1" applyFont="1" applyFill="1" applyBorder="1"/>
    <xf numFmtId="168" fontId="3" fillId="0" borderId="6" xfId="0" applyNumberFormat="1" applyFont="1" applyFill="1" applyBorder="1" applyAlignment="1">
      <alignment horizontal="center" vertical="center" wrapText="1"/>
    </xf>
    <xf numFmtId="3" fontId="2" fillId="0" borderId="6" xfId="0" applyNumberFormat="1" applyFont="1" applyFill="1" applyBorder="1" applyAlignment="1">
      <alignment horizontal="right"/>
    </xf>
    <xf numFmtId="3" fontId="1" fillId="0" borderId="6" xfId="0" applyNumberFormat="1" applyFont="1" applyFill="1" applyBorder="1" applyAlignment="1">
      <alignment horizontal="right"/>
    </xf>
    <xf numFmtId="164" fontId="7" fillId="0" borderId="6" xfId="2" applyNumberFormat="1" applyFont="1" applyFill="1"/>
    <xf numFmtId="0" fontId="2" fillId="0" borderId="7" xfId="0" applyFont="1" applyFill="1" applyBorder="1"/>
    <xf numFmtId="164" fontId="1" fillId="0" borderId="7" xfId="1" applyNumberFormat="1" applyFont="1" applyFill="1" applyBorder="1"/>
    <xf numFmtId="3" fontId="2" fillId="0" borderId="6" xfId="0" applyNumberFormat="1" applyFont="1" applyFill="1" applyBorder="1"/>
    <xf numFmtId="0" fontId="2" fillId="0" borderId="15" xfId="0" applyFont="1" applyFill="1" applyBorder="1"/>
    <xf numFmtId="3" fontId="2" fillId="0" borderId="7" xfId="0" quotePrefix="1" applyNumberFormat="1" applyFont="1" applyFill="1" applyBorder="1" applyAlignment="1">
      <alignment horizontal="right"/>
    </xf>
    <xf numFmtId="3" fontId="2" fillId="0" borderId="7" xfId="0" applyNumberFormat="1" applyFont="1" applyFill="1" applyBorder="1" applyAlignment="1">
      <alignment horizontal="right"/>
    </xf>
    <xf numFmtId="4" fontId="2" fillId="0" borderId="7" xfId="0" applyNumberFormat="1" applyFont="1" applyFill="1" applyBorder="1" applyAlignment="1">
      <alignment horizontal="right"/>
    </xf>
    <xf numFmtId="0" fontId="1" fillId="0" borderId="7" xfId="0" applyFont="1" applyFill="1" applyBorder="1" applyAlignment="1"/>
    <xf numFmtId="3" fontId="2" fillId="0" borderId="16" xfId="0" applyNumberFormat="1" applyFont="1" applyFill="1" applyBorder="1" applyAlignment="1">
      <alignment horizontal="right"/>
    </xf>
    <xf numFmtId="0" fontId="1" fillId="0" borderId="7"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1"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Fill="1" applyBorder="1" applyAlignment="1">
      <alignment horizontal="center" vertical="top"/>
    </xf>
    <xf numFmtId="0" fontId="2" fillId="0" borderId="6" xfId="0" applyFont="1" applyFill="1" applyBorder="1" applyAlignment="1">
      <alignment horizontal="center" vertical="top"/>
    </xf>
    <xf numFmtId="0" fontId="1" fillId="0" borderId="6" xfId="0" applyFont="1" applyFill="1" applyBorder="1" applyAlignment="1">
      <alignment horizontal="center" vertical="top" wrapText="1"/>
    </xf>
    <xf numFmtId="0" fontId="2" fillId="0" borderId="0" xfId="0" applyFont="1" applyAlignment="1">
      <alignment horizontal="center"/>
    </xf>
    <xf numFmtId="0" fontId="33" fillId="0" borderId="14" xfId="4" applyFont="1" applyFill="1" applyBorder="1" applyAlignment="1">
      <alignment horizontal="left" vertical="center"/>
    </xf>
    <xf numFmtId="0" fontId="23" fillId="0" borderId="6" xfId="4" applyFont="1" applyFill="1" applyAlignment="1">
      <alignment horizontal="center" vertical="center"/>
    </xf>
    <xf numFmtId="0" fontId="24" fillId="0" borderId="6" xfId="4" applyFont="1" applyFill="1" applyAlignment="1">
      <alignment horizontal="center" vertical="center"/>
    </xf>
    <xf numFmtId="0" fontId="3" fillId="0" borderId="6" xfId="4" applyFont="1" applyFill="1" applyAlignment="1">
      <alignment horizontal="center" vertical="center"/>
    </xf>
    <xf numFmtId="171" fontId="25" fillId="0" borderId="12" xfId="4" applyNumberFormat="1" applyFont="1" applyFill="1" applyBorder="1" applyAlignment="1">
      <alignment horizontal="center" vertical="center"/>
    </xf>
    <xf numFmtId="0" fontId="26" fillId="0" borderId="7" xfId="4" applyFont="1" applyFill="1" applyBorder="1" applyAlignment="1">
      <alignment horizontal="center" vertical="center" wrapText="1"/>
    </xf>
    <xf numFmtId="171" fontId="26" fillId="0" borderId="7" xfId="4" applyNumberFormat="1" applyFont="1" applyFill="1" applyBorder="1" applyAlignment="1">
      <alignment horizontal="center" vertical="center" wrapText="1"/>
    </xf>
    <xf numFmtId="171" fontId="26" fillId="0" borderId="7" xfId="4" applyNumberFormat="1" applyFont="1" applyFill="1" applyBorder="1" applyAlignment="1">
      <alignment horizontal="center" vertical="center"/>
    </xf>
    <xf numFmtId="171" fontId="26" fillId="0" borderId="11" xfId="4" applyNumberFormat="1" applyFont="1" applyFill="1" applyBorder="1" applyAlignment="1">
      <alignment horizontal="center" vertical="center" wrapText="1"/>
    </xf>
    <xf numFmtId="171" fontId="26" fillId="0" borderId="13" xfId="4" applyNumberFormat="1" applyFont="1" applyFill="1" applyBorder="1" applyAlignment="1">
      <alignment horizontal="center" vertical="center" wrapText="1"/>
    </xf>
    <xf numFmtId="0" fontId="2" fillId="0" borderId="6" xfId="4" applyFont="1" applyBorder="1" applyAlignment="1">
      <alignment horizontal="center" vertical="center"/>
    </xf>
    <xf numFmtId="0" fontId="1" fillId="0" borderId="6" xfId="4" applyFont="1" applyBorder="1" applyAlignment="1">
      <alignment horizontal="center" vertical="center" wrapText="1"/>
    </xf>
    <xf numFmtId="0" fontId="3" fillId="0" borderId="6" xfId="4" applyFont="1" applyBorder="1" applyAlignment="1">
      <alignment horizontal="center" vertical="center"/>
    </xf>
    <xf numFmtId="2" fontId="19" fillId="0" borderId="0" xfId="0" quotePrefix="1" applyNumberFormat="1" applyFont="1" applyFill="1" applyAlignment="1">
      <alignment horizontal="left" vertical="center" wrapText="1"/>
    </xf>
    <xf numFmtId="0" fontId="1" fillId="3" borderId="7" xfId="0" applyFont="1" applyFill="1" applyBorder="1" applyAlignment="1">
      <alignment horizontal="center"/>
    </xf>
    <xf numFmtId="0" fontId="1" fillId="0" borderId="6" xfId="0" applyFont="1" applyFill="1" applyBorder="1" applyAlignment="1">
      <alignment horizontal="center" vertical="top"/>
    </xf>
    <xf numFmtId="0" fontId="3" fillId="0"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7" xfId="0" applyFont="1" applyFill="1" applyBorder="1" applyAlignment="1">
      <alignment horizontal="left" vertical="top" wrapText="1"/>
    </xf>
    <xf numFmtId="0" fontId="16" fillId="0" borderId="0" xfId="0" applyFont="1" applyAlignment="1">
      <alignment horizontal="left" wrapText="1"/>
    </xf>
  </cellXfs>
  <cellStyles count="7">
    <cellStyle name="Comma" xfId="1" builtinId="3"/>
    <cellStyle name="Comma 11" xfId="2"/>
    <cellStyle name="Comma 2" xfId="5"/>
    <cellStyle name="Normal" xfId="0" builtinId="0"/>
    <cellStyle name="Normal 2" xfId="4"/>
    <cellStyle name="Percent" xfId="3"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RIEM/2022.03.02.%20Cac%20phu%20luc%20dinh%20kem%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PL 01 STC"/>
      <sheetName val="PL 02 -STC"/>
      <sheetName val="PL03- STC"/>
      <sheetName val="PL 01"/>
      <sheetName val="PL 02"/>
      <sheetName val="PL 03"/>
      <sheetName val="Sheet2"/>
      <sheetName val="PA Rut von"/>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75"/>
  <sheetViews>
    <sheetView zoomScale="90" zoomScaleNormal="90" zoomScaleSheetLayoutView="100" workbookViewId="0">
      <selection activeCell="T9" sqref="T9"/>
    </sheetView>
  </sheetViews>
  <sheetFormatPr defaultColWidth="9.140625" defaultRowHeight="15.75" x14ac:dyDescent="0.25"/>
  <cols>
    <col min="1" max="1" width="7.42578125" style="16" customWidth="1"/>
    <col min="2" max="6" width="11.28515625" style="16" bestFit="1" customWidth="1"/>
    <col min="7" max="7" width="14.28515625" style="16" bestFit="1" customWidth="1"/>
    <col min="8" max="8" width="9.140625" style="16"/>
    <col min="9" max="9" width="12.140625" style="16" customWidth="1"/>
    <col min="10" max="10" width="9.140625" style="16"/>
    <col min="11" max="11" width="10.42578125" style="16" customWidth="1"/>
    <col min="12" max="12" width="9.140625" style="16"/>
    <col min="13" max="13" width="10.7109375" style="16" customWidth="1"/>
    <col min="14" max="15" width="9.140625" style="16"/>
    <col min="16" max="16" width="11.28515625" style="16" bestFit="1" customWidth="1"/>
    <col min="17" max="18" width="11.28515625" style="16" customWidth="1"/>
    <col min="19" max="19" width="12.42578125" style="16" customWidth="1"/>
    <col min="20" max="20" width="12.5703125" style="16" customWidth="1"/>
    <col min="21" max="21" width="19" style="16" customWidth="1"/>
    <col min="22" max="22" width="9.85546875" style="16" bestFit="1" customWidth="1"/>
    <col min="23" max="23" width="11.28515625" style="16" bestFit="1" customWidth="1"/>
    <col min="24" max="24" width="12.42578125" style="16" bestFit="1" customWidth="1"/>
    <col min="25" max="25" width="10.140625" style="16" bestFit="1" customWidth="1"/>
    <col min="26" max="26" width="16.85546875" style="16" bestFit="1" customWidth="1"/>
    <col min="27" max="27" width="8.7109375" style="16" bestFit="1" customWidth="1"/>
    <col min="28" max="16384" width="9.140625" style="16"/>
  </cols>
  <sheetData>
    <row r="1" spans="1:27" x14ac:dyDescent="0.25">
      <c r="A1" s="13" t="str">
        <f>+'PL 02'!A1</f>
        <v>ỦY BAN NHÂN DÂN TỈNH QUẢNG TRỊ</v>
      </c>
      <c r="B1" s="14"/>
      <c r="C1" s="15"/>
      <c r="D1" s="14"/>
      <c r="E1" s="14"/>
      <c r="F1" s="14"/>
      <c r="G1" s="14"/>
      <c r="H1" s="14"/>
      <c r="I1" s="14"/>
      <c r="J1" s="14"/>
      <c r="K1" s="14"/>
      <c r="L1" s="14"/>
      <c r="M1" s="14"/>
      <c r="N1" s="14"/>
      <c r="O1" s="14"/>
      <c r="P1" s="14"/>
      <c r="Q1" s="14"/>
      <c r="R1" s="14"/>
      <c r="S1" s="14"/>
      <c r="T1" s="14"/>
    </row>
    <row r="2" spans="1:27" ht="6" customHeight="1" x14ac:dyDescent="0.25">
      <c r="A2" s="14"/>
      <c r="B2" s="14"/>
      <c r="C2" s="14"/>
      <c r="D2" s="14"/>
      <c r="E2" s="14"/>
      <c r="F2" s="14"/>
      <c r="G2" s="14"/>
      <c r="H2" s="14"/>
      <c r="I2" s="14"/>
      <c r="J2" s="14"/>
      <c r="K2" s="14"/>
      <c r="L2" s="14"/>
      <c r="M2" s="14"/>
      <c r="N2" s="14"/>
      <c r="O2" s="14"/>
      <c r="P2" s="14"/>
      <c r="Q2" s="14"/>
      <c r="R2" s="14"/>
      <c r="S2" s="14"/>
      <c r="T2" s="14"/>
    </row>
    <row r="3" spans="1:27" x14ac:dyDescent="0.25">
      <c r="A3" s="199" t="s">
        <v>219</v>
      </c>
      <c r="B3" s="181"/>
      <c r="C3" s="181"/>
      <c r="D3" s="181"/>
      <c r="E3" s="181"/>
      <c r="F3" s="181"/>
      <c r="G3" s="181"/>
      <c r="H3" s="181"/>
      <c r="I3" s="181"/>
      <c r="J3" s="181"/>
      <c r="K3" s="181"/>
      <c r="L3" s="181"/>
      <c r="M3" s="181"/>
      <c r="N3" s="181"/>
      <c r="O3" s="181"/>
      <c r="P3" s="181"/>
      <c r="Q3" s="181"/>
      <c r="R3" s="181"/>
      <c r="S3" s="181"/>
      <c r="T3" s="181"/>
    </row>
    <row r="4" spans="1:27" x14ac:dyDescent="0.25">
      <c r="A4" s="182" t="s">
        <v>71</v>
      </c>
      <c r="B4" s="182"/>
      <c r="C4" s="182"/>
      <c r="D4" s="182"/>
      <c r="E4" s="182"/>
      <c r="F4" s="182"/>
      <c r="G4" s="182"/>
      <c r="H4" s="182"/>
      <c r="I4" s="182"/>
      <c r="J4" s="182"/>
      <c r="K4" s="182"/>
      <c r="L4" s="182"/>
      <c r="M4" s="182"/>
      <c r="N4" s="182"/>
      <c r="O4" s="182"/>
      <c r="P4" s="182"/>
      <c r="Q4" s="182"/>
      <c r="R4" s="182"/>
      <c r="S4" s="182"/>
      <c r="T4" s="182"/>
    </row>
    <row r="5" spans="1:27" x14ac:dyDescent="0.25">
      <c r="A5" s="200" t="s">
        <v>185</v>
      </c>
      <c r="B5" s="200"/>
      <c r="C5" s="200"/>
      <c r="D5" s="200"/>
      <c r="E5" s="200"/>
      <c r="F5" s="200"/>
      <c r="G5" s="200"/>
      <c r="H5" s="200"/>
      <c r="I5" s="200"/>
      <c r="J5" s="200"/>
      <c r="K5" s="200"/>
      <c r="L5" s="200"/>
      <c r="M5" s="200"/>
      <c r="N5" s="200"/>
      <c r="O5" s="200"/>
      <c r="P5" s="200"/>
      <c r="Q5" s="200"/>
      <c r="R5" s="200"/>
      <c r="S5" s="200"/>
      <c r="T5" s="200"/>
    </row>
    <row r="6" spans="1:27" x14ac:dyDescent="0.25">
      <c r="A6" s="180" t="s">
        <v>162</v>
      </c>
      <c r="B6" s="181"/>
      <c r="C6" s="181"/>
      <c r="D6" s="181"/>
      <c r="E6" s="181"/>
      <c r="F6" s="181"/>
      <c r="G6" s="181"/>
      <c r="H6" s="181"/>
      <c r="I6" s="181"/>
      <c r="J6" s="181"/>
      <c r="K6" s="181"/>
      <c r="L6" s="181"/>
      <c r="M6" s="181"/>
      <c r="N6" s="181"/>
      <c r="O6" s="181"/>
      <c r="P6" s="181"/>
      <c r="Q6" s="181"/>
      <c r="R6" s="181"/>
      <c r="S6" s="181"/>
      <c r="T6" s="181"/>
    </row>
    <row r="7" spans="1:27" x14ac:dyDescent="0.25">
      <c r="A7" s="14"/>
      <c r="B7" s="14"/>
      <c r="C7" s="14"/>
      <c r="D7" s="14"/>
      <c r="E7" s="14"/>
      <c r="F7" s="14"/>
      <c r="G7" s="14"/>
      <c r="H7" s="14"/>
      <c r="I7" s="14"/>
      <c r="J7" s="14"/>
      <c r="K7" s="14"/>
      <c r="L7" s="14"/>
      <c r="M7" s="14"/>
      <c r="N7" s="14"/>
      <c r="O7" s="14"/>
      <c r="P7" s="14"/>
      <c r="Q7" s="14"/>
      <c r="R7" s="14"/>
      <c r="S7" s="14"/>
      <c r="T7" s="26" t="s">
        <v>85</v>
      </c>
    </row>
    <row r="8" spans="1:27" s="20" customFormat="1" ht="94.5" x14ac:dyDescent="0.2">
      <c r="A8" s="17" t="s">
        <v>50</v>
      </c>
      <c r="B8" s="18" t="s">
        <v>70</v>
      </c>
      <c r="C8" s="18" t="s">
        <v>69</v>
      </c>
      <c r="D8" s="19" t="s">
        <v>51</v>
      </c>
      <c r="E8" s="19" t="s">
        <v>52</v>
      </c>
      <c r="F8" s="19" t="s">
        <v>53</v>
      </c>
      <c r="G8" s="17" t="s">
        <v>54</v>
      </c>
      <c r="H8" s="17" t="s">
        <v>55</v>
      </c>
      <c r="I8" s="18" t="s">
        <v>173</v>
      </c>
      <c r="J8" s="17" t="s">
        <v>57</v>
      </c>
      <c r="K8" s="18" t="s">
        <v>163</v>
      </c>
      <c r="L8" s="18" t="s">
        <v>164</v>
      </c>
      <c r="M8" s="18" t="s">
        <v>165</v>
      </c>
      <c r="N8" s="17" t="s">
        <v>59</v>
      </c>
      <c r="O8" s="17" t="s">
        <v>60</v>
      </c>
      <c r="P8" s="19" t="s">
        <v>61</v>
      </c>
      <c r="Q8" s="90" t="s">
        <v>177</v>
      </c>
      <c r="R8" s="18" t="s">
        <v>179</v>
      </c>
      <c r="S8" s="18" t="s">
        <v>178</v>
      </c>
      <c r="T8" s="17" t="s">
        <v>63</v>
      </c>
      <c r="U8" s="18"/>
    </row>
    <row r="9" spans="1:27" s="20" customFormat="1" ht="63" x14ac:dyDescent="0.2">
      <c r="A9" s="74">
        <v>1</v>
      </c>
      <c r="B9" s="74">
        <f>+A9+1</f>
        <v>2</v>
      </c>
      <c r="C9" s="74">
        <f t="shared" ref="C9:P9" si="0">+B9+1</f>
        <v>3</v>
      </c>
      <c r="D9" s="74">
        <f t="shared" si="0"/>
        <v>4</v>
      </c>
      <c r="E9" s="74">
        <f t="shared" si="0"/>
        <v>5</v>
      </c>
      <c r="F9" s="74">
        <f t="shared" si="0"/>
        <v>6</v>
      </c>
      <c r="G9" s="74">
        <f t="shared" si="0"/>
        <v>7</v>
      </c>
      <c r="H9" s="74">
        <f t="shared" si="0"/>
        <v>8</v>
      </c>
      <c r="I9" s="74">
        <f t="shared" si="0"/>
        <v>9</v>
      </c>
      <c r="J9" s="74">
        <f t="shared" si="0"/>
        <v>10</v>
      </c>
      <c r="K9" s="74">
        <f t="shared" si="0"/>
        <v>11</v>
      </c>
      <c r="L9" s="74">
        <f t="shared" si="0"/>
        <v>12</v>
      </c>
      <c r="M9" s="73" t="s">
        <v>183</v>
      </c>
      <c r="N9" s="74">
        <f>+L9+2</f>
        <v>14</v>
      </c>
      <c r="O9" s="74">
        <f t="shared" si="0"/>
        <v>15</v>
      </c>
      <c r="P9" s="74">
        <f t="shared" si="0"/>
        <v>16</v>
      </c>
      <c r="Q9" s="74" t="s">
        <v>180</v>
      </c>
      <c r="R9" s="74" t="s">
        <v>181</v>
      </c>
      <c r="S9" s="74" t="s">
        <v>182</v>
      </c>
      <c r="T9" s="74" t="s">
        <v>184</v>
      </c>
    </row>
    <row r="10" spans="1:27" x14ac:dyDescent="0.25">
      <c r="A10" s="27" t="s">
        <v>72</v>
      </c>
      <c r="B10" s="28"/>
      <c r="C10" s="28"/>
      <c r="D10" s="28"/>
      <c r="E10" s="28"/>
      <c r="F10" s="28"/>
      <c r="G10" s="28"/>
      <c r="H10" s="28"/>
      <c r="I10" s="28"/>
      <c r="J10" s="28"/>
      <c r="K10" s="28"/>
      <c r="L10" s="28"/>
      <c r="M10" s="28"/>
      <c r="N10" s="28"/>
      <c r="O10" s="28"/>
      <c r="P10" s="28"/>
      <c r="Q10" s="28"/>
      <c r="R10" s="28"/>
      <c r="S10" s="28"/>
      <c r="T10" s="28"/>
      <c r="U10" s="29">
        <v>23210</v>
      </c>
      <c r="V10" s="29"/>
      <c r="W10" s="88">
        <f>+W11+W12</f>
        <v>17105121.349122804</v>
      </c>
    </row>
    <row r="11" spans="1:27" x14ac:dyDescent="0.25">
      <c r="A11" s="30" t="s">
        <v>22</v>
      </c>
      <c r="B11" s="31">
        <v>44576</v>
      </c>
      <c r="C11" s="31">
        <f t="shared" ref="C11:C61" si="1">DATE(YEAR(B11),MONTH(B11)+6,DAY(B11))</f>
        <v>44757</v>
      </c>
      <c r="D11" s="30">
        <f>+C11-B11</f>
        <v>181</v>
      </c>
      <c r="E11" s="32">
        <v>1200000</v>
      </c>
      <c r="F11" s="32">
        <v>1200000</v>
      </c>
      <c r="G11" s="32">
        <f t="shared" ref="G11:G13" si="2">SUM(E12:E18)</f>
        <v>10800000</v>
      </c>
      <c r="H11" s="33"/>
      <c r="I11" s="34">
        <v>1.927</v>
      </c>
      <c r="J11" s="34">
        <v>0.5</v>
      </c>
      <c r="K11" s="34">
        <v>0.14000000000000001</v>
      </c>
      <c r="L11" s="34">
        <v>0.1</v>
      </c>
      <c r="M11" s="34">
        <f>+I11+J11+K11+L11</f>
        <v>2.6670000000000003</v>
      </c>
      <c r="N11" s="34">
        <v>0.25</v>
      </c>
      <c r="O11" s="34">
        <v>0.15</v>
      </c>
      <c r="P11" s="32"/>
      <c r="Q11" s="32">
        <f>+F11*M11%*D11/360</f>
        <v>16090.900000000003</v>
      </c>
      <c r="R11" s="32">
        <f>+F11*N11%*D11/360</f>
        <v>1508.3333333333333</v>
      </c>
      <c r="S11" s="32">
        <f>G11*O11%*D11/360</f>
        <v>8145</v>
      </c>
      <c r="T11" s="32">
        <f>SUM(P11:S11)</f>
        <v>25744.233333333337</v>
      </c>
      <c r="U11" s="21">
        <f>+$U$10*W11</f>
        <v>38128104487.000015</v>
      </c>
      <c r="V11" s="87">
        <f>+ROUND(U11,-6)/10^6</f>
        <v>38128</v>
      </c>
      <c r="W11" s="88">
        <f>SUM(T11:T22)</f>
        <v>1642744.7000000007</v>
      </c>
      <c r="X11" s="16" t="s">
        <v>175</v>
      </c>
      <c r="Y11" s="22">
        <f>+W11/6</f>
        <v>273790.78333333344</v>
      </c>
      <c r="Z11" s="23">
        <f>+Y11*$U$10</f>
        <v>6354684081.1666689</v>
      </c>
      <c r="AA11" s="24">
        <f t="shared" ref="AA11:AA12" si="3">+ROUND(Z11,-6)/10^6</f>
        <v>6355</v>
      </c>
    </row>
    <row r="12" spans="1:27" x14ac:dyDescent="0.25">
      <c r="A12" s="30">
        <f>+A11+1</f>
        <v>2</v>
      </c>
      <c r="B12" s="31">
        <f t="shared" ref="B12:B22" si="4">C11</f>
        <v>44757</v>
      </c>
      <c r="C12" s="31">
        <f t="shared" si="1"/>
        <v>44941</v>
      </c>
      <c r="D12" s="30">
        <f t="shared" ref="D12:D61" si="5">+C12-B12</f>
        <v>184</v>
      </c>
      <c r="E12" s="32">
        <v>1200000</v>
      </c>
      <c r="F12" s="32">
        <f t="shared" ref="F12:F22" si="6">E12+F11-P11</f>
        <v>2400000</v>
      </c>
      <c r="G12" s="32">
        <f t="shared" si="2"/>
        <v>9600000</v>
      </c>
      <c r="H12" s="33"/>
      <c r="I12" s="34">
        <f>+I11</f>
        <v>1.927</v>
      </c>
      <c r="J12" s="34">
        <v>0.5</v>
      </c>
      <c r="K12" s="34">
        <v>0.14000000000000001</v>
      </c>
      <c r="L12" s="34">
        <v>0.1</v>
      </c>
      <c r="M12" s="34">
        <f t="shared" ref="M12:M22" si="7">+I12+J12+K12+L12</f>
        <v>2.6670000000000003</v>
      </c>
      <c r="N12" s="34">
        <v>0.25</v>
      </c>
      <c r="O12" s="34">
        <v>0.15</v>
      </c>
      <c r="P12" s="35"/>
      <c r="Q12" s="32">
        <f t="shared" ref="Q12:Q61" si="8">+F12*M12%*D12/360</f>
        <v>32715.200000000004</v>
      </c>
      <c r="R12" s="32">
        <f t="shared" ref="R12:R61" si="9">+F12*N12%*D12/360</f>
        <v>3066.6666666666665</v>
      </c>
      <c r="S12" s="32">
        <f t="shared" ref="S12:S61" si="10">G12*O12%*D12/360</f>
        <v>7360</v>
      </c>
      <c r="T12" s="32">
        <f t="shared" ref="T12:T61" si="11">SUM(P12:S12)</f>
        <v>43141.866666666669</v>
      </c>
      <c r="U12" s="21">
        <f>+$U$10*W12</f>
        <v>358881762026.14032</v>
      </c>
      <c r="V12" s="87">
        <f>+ROUND(U12,-6)/10^6</f>
        <v>358882</v>
      </c>
      <c r="W12" s="22">
        <f>+W13+W14</f>
        <v>15462376.649122804</v>
      </c>
      <c r="X12" s="16" t="s">
        <v>176</v>
      </c>
      <c r="Y12" s="22">
        <f>+W12/19</f>
        <v>813809.29732225288</v>
      </c>
      <c r="Z12" s="23">
        <f>+Y12*$U$10</f>
        <v>18888513790.849491</v>
      </c>
      <c r="AA12" s="24">
        <f t="shared" si="3"/>
        <v>18889</v>
      </c>
    </row>
    <row r="13" spans="1:27" x14ac:dyDescent="0.25">
      <c r="A13" s="30">
        <f t="shared" ref="A13:A20" si="12">+A12+1</f>
        <v>3</v>
      </c>
      <c r="B13" s="31">
        <f t="shared" si="4"/>
        <v>44941</v>
      </c>
      <c r="C13" s="31">
        <f t="shared" si="1"/>
        <v>45122</v>
      </c>
      <c r="D13" s="30">
        <f t="shared" si="5"/>
        <v>181</v>
      </c>
      <c r="E13" s="32">
        <v>2400000</v>
      </c>
      <c r="F13" s="32">
        <f t="shared" si="6"/>
        <v>4800000</v>
      </c>
      <c r="G13" s="32">
        <f t="shared" si="2"/>
        <v>7200000</v>
      </c>
      <c r="H13" s="33"/>
      <c r="I13" s="34">
        <f t="shared" ref="I13:I22" si="13">+I12</f>
        <v>1.927</v>
      </c>
      <c r="J13" s="34">
        <v>0.5</v>
      </c>
      <c r="K13" s="34">
        <v>0.14000000000000001</v>
      </c>
      <c r="L13" s="34">
        <v>0.1</v>
      </c>
      <c r="M13" s="34">
        <f t="shared" si="7"/>
        <v>2.6670000000000003</v>
      </c>
      <c r="N13" s="34">
        <v>0.25</v>
      </c>
      <c r="O13" s="34">
        <v>0.15</v>
      </c>
      <c r="P13" s="35"/>
      <c r="Q13" s="32">
        <f t="shared" si="8"/>
        <v>64363.600000000013</v>
      </c>
      <c r="R13" s="32">
        <f t="shared" si="9"/>
        <v>6033.333333333333</v>
      </c>
      <c r="S13" s="32">
        <f t="shared" si="10"/>
        <v>5430</v>
      </c>
      <c r="T13" s="32">
        <f t="shared" si="11"/>
        <v>75826.933333333349</v>
      </c>
      <c r="W13" s="89">
        <f>SUM(P24:P61)</f>
        <v>11999999.999999994</v>
      </c>
      <c r="Y13" s="21"/>
    </row>
    <row r="14" spans="1:27" x14ac:dyDescent="0.25">
      <c r="A14" s="30">
        <f t="shared" si="12"/>
        <v>4</v>
      </c>
      <c r="B14" s="31">
        <f t="shared" si="4"/>
        <v>45122</v>
      </c>
      <c r="C14" s="31">
        <f t="shared" si="1"/>
        <v>45306</v>
      </c>
      <c r="D14" s="30">
        <f t="shared" si="5"/>
        <v>184</v>
      </c>
      <c r="E14" s="32">
        <v>2400000</v>
      </c>
      <c r="F14" s="32">
        <f t="shared" si="6"/>
        <v>7200000</v>
      </c>
      <c r="G14" s="32">
        <f>SUM(E15:E23)</f>
        <v>4800000</v>
      </c>
      <c r="H14" s="33"/>
      <c r="I14" s="34">
        <f t="shared" si="13"/>
        <v>1.927</v>
      </c>
      <c r="J14" s="34">
        <v>0.5</v>
      </c>
      <c r="K14" s="34">
        <v>0.14000000000000001</v>
      </c>
      <c r="L14" s="34">
        <v>0.1</v>
      </c>
      <c r="M14" s="34">
        <f t="shared" si="7"/>
        <v>2.6670000000000003</v>
      </c>
      <c r="N14" s="34">
        <v>0.25</v>
      </c>
      <c r="O14" s="34">
        <v>0.15</v>
      </c>
      <c r="P14" s="35"/>
      <c r="Q14" s="32">
        <f t="shared" si="8"/>
        <v>98145.60000000002</v>
      </c>
      <c r="R14" s="32">
        <f t="shared" si="9"/>
        <v>9200</v>
      </c>
      <c r="S14" s="32">
        <f t="shared" si="10"/>
        <v>3680</v>
      </c>
      <c r="T14" s="32">
        <f t="shared" si="11"/>
        <v>111025.60000000002</v>
      </c>
      <c r="W14" s="86">
        <f>SUM(Q24:S61)</f>
        <v>3462376.6491228095</v>
      </c>
    </row>
    <row r="15" spans="1:27" x14ac:dyDescent="0.25">
      <c r="A15" s="30">
        <f t="shared" si="12"/>
        <v>5</v>
      </c>
      <c r="B15" s="31">
        <f t="shared" si="4"/>
        <v>45306</v>
      </c>
      <c r="C15" s="31">
        <f t="shared" si="1"/>
        <v>45488</v>
      </c>
      <c r="D15" s="30">
        <f t="shared" si="5"/>
        <v>182</v>
      </c>
      <c r="E15" s="32">
        <v>2400000</v>
      </c>
      <c r="F15" s="32">
        <f t="shared" si="6"/>
        <v>9600000</v>
      </c>
      <c r="G15" s="32">
        <f>SUM(E16:E24)</f>
        <v>2400000</v>
      </c>
      <c r="H15" s="33"/>
      <c r="I15" s="34">
        <f t="shared" si="13"/>
        <v>1.927</v>
      </c>
      <c r="J15" s="34">
        <v>0.5</v>
      </c>
      <c r="K15" s="34">
        <v>0.14000000000000001</v>
      </c>
      <c r="L15" s="34">
        <v>0.1</v>
      </c>
      <c r="M15" s="34">
        <f t="shared" si="7"/>
        <v>2.6670000000000003</v>
      </c>
      <c r="N15" s="34">
        <v>0.25</v>
      </c>
      <c r="O15" s="34">
        <v>0.15</v>
      </c>
      <c r="P15" s="35"/>
      <c r="Q15" s="32">
        <f t="shared" si="8"/>
        <v>129438.40000000002</v>
      </c>
      <c r="R15" s="32">
        <f t="shared" si="9"/>
        <v>12133.333333333334</v>
      </c>
      <c r="S15" s="32">
        <f t="shared" si="10"/>
        <v>1820</v>
      </c>
      <c r="T15" s="32">
        <f t="shared" si="11"/>
        <v>143391.73333333337</v>
      </c>
      <c r="W15" s="21">
        <f>+W10-W13-W11</f>
        <v>3462376.6491228086</v>
      </c>
    </row>
    <row r="16" spans="1:27" x14ac:dyDescent="0.25">
      <c r="A16" s="30">
        <f t="shared" si="12"/>
        <v>6</v>
      </c>
      <c r="B16" s="31">
        <f t="shared" si="4"/>
        <v>45488</v>
      </c>
      <c r="C16" s="31">
        <f t="shared" si="1"/>
        <v>45672</v>
      </c>
      <c r="D16" s="30">
        <f t="shared" si="5"/>
        <v>184</v>
      </c>
      <c r="E16" s="32">
        <v>2400000</v>
      </c>
      <c r="F16" s="32">
        <f t="shared" si="6"/>
        <v>12000000</v>
      </c>
      <c r="G16" s="36">
        <f>SUM(E17:E22)</f>
        <v>0</v>
      </c>
      <c r="H16" s="33"/>
      <c r="I16" s="34">
        <f t="shared" si="13"/>
        <v>1.927</v>
      </c>
      <c r="J16" s="34">
        <v>0.5</v>
      </c>
      <c r="K16" s="34">
        <v>0.14000000000000001</v>
      </c>
      <c r="L16" s="34">
        <v>0.1</v>
      </c>
      <c r="M16" s="34">
        <f t="shared" si="7"/>
        <v>2.6670000000000003</v>
      </c>
      <c r="N16" s="34">
        <v>0.25</v>
      </c>
      <c r="O16" s="34">
        <v>0.15</v>
      </c>
      <c r="P16" s="35"/>
      <c r="Q16" s="32">
        <f t="shared" si="8"/>
        <v>163576.00000000003</v>
      </c>
      <c r="R16" s="32">
        <f t="shared" si="9"/>
        <v>15333.333333333334</v>
      </c>
      <c r="S16" s="32">
        <f t="shared" si="10"/>
        <v>0</v>
      </c>
      <c r="T16" s="32">
        <f t="shared" si="11"/>
        <v>178909.33333333337</v>
      </c>
    </row>
    <row r="17" spans="1:24" x14ac:dyDescent="0.25">
      <c r="A17" s="30">
        <f t="shared" si="12"/>
        <v>7</v>
      </c>
      <c r="B17" s="31">
        <f t="shared" si="4"/>
        <v>45672</v>
      </c>
      <c r="C17" s="31">
        <f t="shared" si="1"/>
        <v>45853</v>
      </c>
      <c r="D17" s="30">
        <f t="shared" si="5"/>
        <v>181</v>
      </c>
      <c r="E17" s="37"/>
      <c r="F17" s="32">
        <f t="shared" si="6"/>
        <v>12000000</v>
      </c>
      <c r="G17" s="37"/>
      <c r="H17" s="33"/>
      <c r="I17" s="34">
        <f t="shared" si="13"/>
        <v>1.927</v>
      </c>
      <c r="J17" s="34">
        <v>0.5</v>
      </c>
      <c r="K17" s="34">
        <v>0.14000000000000001</v>
      </c>
      <c r="L17" s="34">
        <v>0.1</v>
      </c>
      <c r="M17" s="34">
        <f t="shared" si="7"/>
        <v>2.6670000000000003</v>
      </c>
      <c r="N17" s="34">
        <v>0.25</v>
      </c>
      <c r="O17" s="38">
        <v>0</v>
      </c>
      <c r="P17" s="35"/>
      <c r="Q17" s="32">
        <f t="shared" si="8"/>
        <v>160909.00000000003</v>
      </c>
      <c r="R17" s="32">
        <f t="shared" si="9"/>
        <v>15083.333333333334</v>
      </c>
      <c r="S17" s="32">
        <f t="shared" si="10"/>
        <v>0</v>
      </c>
      <c r="T17" s="32">
        <f t="shared" si="11"/>
        <v>175992.33333333337</v>
      </c>
    </row>
    <row r="18" spans="1:24" x14ac:dyDescent="0.25">
      <c r="A18" s="30">
        <f t="shared" si="12"/>
        <v>8</v>
      </c>
      <c r="B18" s="31">
        <f t="shared" si="4"/>
        <v>45853</v>
      </c>
      <c r="C18" s="31">
        <f t="shared" si="1"/>
        <v>46037</v>
      </c>
      <c r="D18" s="30">
        <f t="shared" si="5"/>
        <v>184</v>
      </c>
      <c r="E18" s="37"/>
      <c r="F18" s="32">
        <f t="shared" si="6"/>
        <v>12000000</v>
      </c>
      <c r="G18" s="39"/>
      <c r="H18" s="33"/>
      <c r="I18" s="34">
        <f t="shared" si="13"/>
        <v>1.927</v>
      </c>
      <c r="J18" s="34">
        <v>0.5</v>
      </c>
      <c r="K18" s="34">
        <v>0.14000000000000001</v>
      </c>
      <c r="L18" s="34">
        <v>0.1</v>
      </c>
      <c r="M18" s="34">
        <f t="shared" si="7"/>
        <v>2.6670000000000003</v>
      </c>
      <c r="N18" s="34">
        <v>0.25</v>
      </c>
      <c r="O18" s="38">
        <v>0</v>
      </c>
      <c r="P18" s="35"/>
      <c r="Q18" s="32">
        <f t="shared" si="8"/>
        <v>163576.00000000003</v>
      </c>
      <c r="R18" s="32">
        <f t="shared" si="9"/>
        <v>15333.333333333334</v>
      </c>
      <c r="S18" s="32">
        <f t="shared" si="10"/>
        <v>0</v>
      </c>
      <c r="T18" s="32">
        <f t="shared" si="11"/>
        <v>178909.33333333337</v>
      </c>
      <c r="U18" s="23">
        <f>+W18*U10</f>
        <v>72990076989.970917</v>
      </c>
      <c r="W18" s="21">
        <f>+T74</f>
        <v>3144768.5045226589</v>
      </c>
      <c r="X18" s="138">
        <f>+U18/10^6</f>
        <v>72990.076989970912</v>
      </c>
    </row>
    <row r="19" spans="1:24" x14ac:dyDescent="0.25">
      <c r="A19" s="30">
        <f t="shared" si="12"/>
        <v>9</v>
      </c>
      <c r="B19" s="31">
        <f t="shared" si="4"/>
        <v>46037</v>
      </c>
      <c r="C19" s="31">
        <f t="shared" si="1"/>
        <v>46218</v>
      </c>
      <c r="D19" s="30">
        <f t="shared" si="5"/>
        <v>181</v>
      </c>
      <c r="E19" s="35"/>
      <c r="F19" s="32">
        <f t="shared" si="6"/>
        <v>12000000</v>
      </c>
      <c r="G19" s="39"/>
      <c r="H19" s="33"/>
      <c r="I19" s="34">
        <f t="shared" si="13"/>
        <v>1.927</v>
      </c>
      <c r="J19" s="34">
        <v>0.5</v>
      </c>
      <c r="K19" s="34">
        <v>0.14000000000000001</v>
      </c>
      <c r="L19" s="34">
        <v>0.1</v>
      </c>
      <c r="M19" s="34">
        <f t="shared" si="7"/>
        <v>2.6670000000000003</v>
      </c>
      <c r="N19" s="34">
        <v>0.25</v>
      </c>
      <c r="O19" s="38">
        <v>0</v>
      </c>
      <c r="P19" s="35"/>
      <c r="Q19" s="32">
        <f t="shared" si="8"/>
        <v>160909.00000000003</v>
      </c>
      <c r="R19" s="32">
        <f t="shared" si="9"/>
        <v>15083.333333333334</v>
      </c>
      <c r="S19" s="32">
        <f t="shared" si="10"/>
        <v>0</v>
      </c>
      <c r="T19" s="32">
        <f t="shared" si="11"/>
        <v>175992.33333333337</v>
      </c>
    </row>
    <row r="20" spans="1:24" x14ac:dyDescent="0.25">
      <c r="A20" s="30">
        <f t="shared" si="12"/>
        <v>10</v>
      </c>
      <c r="B20" s="31">
        <f t="shared" si="4"/>
        <v>46218</v>
      </c>
      <c r="C20" s="31">
        <f t="shared" si="1"/>
        <v>46402</v>
      </c>
      <c r="D20" s="30">
        <f t="shared" si="5"/>
        <v>184</v>
      </c>
      <c r="E20" s="35"/>
      <c r="F20" s="32">
        <f t="shared" si="6"/>
        <v>12000000</v>
      </c>
      <c r="G20" s="33"/>
      <c r="H20" s="33"/>
      <c r="I20" s="34">
        <f t="shared" si="13"/>
        <v>1.927</v>
      </c>
      <c r="J20" s="34">
        <v>0.5</v>
      </c>
      <c r="K20" s="34">
        <v>0.14000000000000001</v>
      </c>
      <c r="L20" s="34">
        <v>0.1</v>
      </c>
      <c r="M20" s="34">
        <f t="shared" si="7"/>
        <v>2.6670000000000003</v>
      </c>
      <c r="N20" s="34">
        <v>0.25</v>
      </c>
      <c r="O20" s="38">
        <v>0</v>
      </c>
      <c r="P20" s="35"/>
      <c r="Q20" s="32">
        <f t="shared" si="8"/>
        <v>163576.00000000003</v>
      </c>
      <c r="R20" s="32">
        <f t="shared" si="9"/>
        <v>15333.333333333334</v>
      </c>
      <c r="S20" s="32">
        <f t="shared" si="10"/>
        <v>0</v>
      </c>
      <c r="T20" s="32">
        <f t="shared" si="11"/>
        <v>178909.33333333337</v>
      </c>
    </row>
    <row r="21" spans="1:24" x14ac:dyDescent="0.25">
      <c r="A21" s="30">
        <f>+A20+1</f>
        <v>11</v>
      </c>
      <c r="B21" s="31">
        <f t="shared" si="4"/>
        <v>46402</v>
      </c>
      <c r="C21" s="31">
        <f t="shared" si="1"/>
        <v>46583</v>
      </c>
      <c r="D21" s="30">
        <f t="shared" si="5"/>
        <v>181</v>
      </c>
      <c r="E21" s="35"/>
      <c r="F21" s="32">
        <f t="shared" si="6"/>
        <v>12000000</v>
      </c>
      <c r="G21" s="33"/>
      <c r="H21" s="33"/>
      <c r="I21" s="34">
        <f t="shared" si="13"/>
        <v>1.927</v>
      </c>
      <c r="J21" s="34">
        <v>0.5</v>
      </c>
      <c r="K21" s="34">
        <v>0.14000000000000001</v>
      </c>
      <c r="L21" s="34">
        <v>0.1</v>
      </c>
      <c r="M21" s="34">
        <f t="shared" si="7"/>
        <v>2.6670000000000003</v>
      </c>
      <c r="N21" s="34">
        <v>0.25</v>
      </c>
      <c r="O21" s="38"/>
      <c r="P21" s="35"/>
      <c r="Q21" s="32">
        <f t="shared" si="8"/>
        <v>160909.00000000003</v>
      </c>
      <c r="R21" s="32">
        <f t="shared" si="9"/>
        <v>15083.333333333334</v>
      </c>
      <c r="S21" s="32">
        <f t="shared" si="10"/>
        <v>0</v>
      </c>
      <c r="T21" s="32">
        <f t="shared" si="11"/>
        <v>175992.33333333337</v>
      </c>
    </row>
    <row r="22" spans="1:24" x14ac:dyDescent="0.25">
      <c r="A22" s="30">
        <f>+A21+1</f>
        <v>12</v>
      </c>
      <c r="B22" s="31">
        <f t="shared" si="4"/>
        <v>46583</v>
      </c>
      <c r="C22" s="31">
        <f t="shared" si="1"/>
        <v>46767</v>
      </c>
      <c r="D22" s="30">
        <f t="shared" si="5"/>
        <v>184</v>
      </c>
      <c r="E22" s="35"/>
      <c r="F22" s="32">
        <f t="shared" si="6"/>
        <v>12000000</v>
      </c>
      <c r="G22" s="33"/>
      <c r="H22" s="33"/>
      <c r="I22" s="34">
        <f t="shared" si="13"/>
        <v>1.927</v>
      </c>
      <c r="J22" s="34">
        <v>0.5</v>
      </c>
      <c r="K22" s="34">
        <v>0.14000000000000001</v>
      </c>
      <c r="L22" s="34">
        <v>0.1</v>
      </c>
      <c r="M22" s="34">
        <f t="shared" si="7"/>
        <v>2.6670000000000003</v>
      </c>
      <c r="N22" s="34">
        <v>0.25</v>
      </c>
      <c r="O22" s="38"/>
      <c r="P22" s="35"/>
      <c r="Q22" s="32">
        <f t="shared" si="8"/>
        <v>163576.00000000003</v>
      </c>
      <c r="R22" s="32">
        <f t="shared" si="9"/>
        <v>15333.333333333334</v>
      </c>
      <c r="S22" s="32">
        <f t="shared" si="10"/>
        <v>0</v>
      </c>
      <c r="T22" s="32">
        <f t="shared" si="11"/>
        <v>178909.33333333337</v>
      </c>
    </row>
    <row r="23" spans="1:24" x14ac:dyDescent="0.25">
      <c r="A23" s="40" t="s">
        <v>73</v>
      </c>
      <c r="B23" s="41"/>
      <c r="C23" s="41"/>
      <c r="D23" s="41"/>
      <c r="E23" s="41"/>
      <c r="F23" s="41"/>
      <c r="G23" s="41"/>
      <c r="H23" s="41"/>
      <c r="I23" s="41"/>
      <c r="J23" s="41"/>
      <c r="K23" s="41"/>
      <c r="L23" s="41"/>
      <c r="M23" s="41"/>
      <c r="N23" s="41"/>
      <c r="O23" s="41"/>
      <c r="P23" s="41"/>
      <c r="Q23" s="32"/>
      <c r="R23" s="32"/>
      <c r="S23" s="32"/>
      <c r="T23" s="32"/>
    </row>
    <row r="24" spans="1:24" x14ac:dyDescent="0.25">
      <c r="A24" s="30">
        <f>+A22+1</f>
        <v>13</v>
      </c>
      <c r="B24" s="42">
        <f>+C22</f>
        <v>46767</v>
      </c>
      <c r="C24" s="31">
        <f t="shared" si="1"/>
        <v>46949</v>
      </c>
      <c r="D24" s="30">
        <f t="shared" si="5"/>
        <v>182</v>
      </c>
      <c r="E24" s="35"/>
      <c r="F24" s="32">
        <f>E24+F20-P20</f>
        <v>12000000</v>
      </c>
      <c r="G24" s="33"/>
      <c r="H24" s="43">
        <f>100/38</f>
        <v>2.6315789473684212</v>
      </c>
      <c r="I24" s="34">
        <f>+I22</f>
        <v>1.927</v>
      </c>
      <c r="J24" s="34">
        <f>+J22</f>
        <v>0.5</v>
      </c>
      <c r="K24" s="34">
        <f t="shared" ref="K24:L24" si="14">+K22</f>
        <v>0.14000000000000001</v>
      </c>
      <c r="L24" s="34">
        <f t="shared" si="14"/>
        <v>0.1</v>
      </c>
      <c r="M24" s="34">
        <f>+M22</f>
        <v>2.6670000000000003</v>
      </c>
      <c r="N24" s="34">
        <f>+N22</f>
        <v>0.25</v>
      </c>
      <c r="O24" s="33"/>
      <c r="P24" s="32">
        <f t="shared" ref="P24:P61" si="15">+H24%*12000000</f>
        <v>315789.47368421056</v>
      </c>
      <c r="Q24" s="32">
        <f t="shared" si="8"/>
        <v>161798.00000000003</v>
      </c>
      <c r="R24" s="32">
        <f t="shared" si="9"/>
        <v>15166.666666666666</v>
      </c>
      <c r="S24" s="32">
        <f t="shared" si="10"/>
        <v>0</v>
      </c>
      <c r="T24" s="32">
        <f t="shared" si="11"/>
        <v>492754.14035087725</v>
      </c>
    </row>
    <row r="25" spans="1:24" x14ac:dyDescent="0.25">
      <c r="A25" s="30">
        <f>+A24+1</f>
        <v>14</v>
      </c>
      <c r="B25" s="42">
        <f>+C24</f>
        <v>46949</v>
      </c>
      <c r="C25" s="31">
        <f t="shared" si="1"/>
        <v>47133</v>
      </c>
      <c r="D25" s="30">
        <f t="shared" si="5"/>
        <v>184</v>
      </c>
      <c r="E25" s="35"/>
      <c r="F25" s="32">
        <f t="shared" ref="F25:F61" si="16">E25+F24-P24</f>
        <v>11684210.52631579</v>
      </c>
      <c r="G25" s="33"/>
      <c r="H25" s="43">
        <f>+H24</f>
        <v>2.6315789473684212</v>
      </c>
      <c r="I25" s="34">
        <f>+I24</f>
        <v>1.927</v>
      </c>
      <c r="J25" s="34">
        <f t="shared" ref="J25:N40" si="17">+J24</f>
        <v>0.5</v>
      </c>
      <c r="K25" s="34">
        <f t="shared" si="17"/>
        <v>0.14000000000000001</v>
      </c>
      <c r="L25" s="34">
        <f t="shared" si="17"/>
        <v>0.1</v>
      </c>
      <c r="M25" s="34">
        <f t="shared" si="17"/>
        <v>2.6670000000000003</v>
      </c>
      <c r="N25" s="34">
        <f t="shared" si="17"/>
        <v>0.25</v>
      </c>
      <c r="O25" s="33"/>
      <c r="P25" s="32">
        <f t="shared" si="15"/>
        <v>315789.47368421056</v>
      </c>
      <c r="Q25" s="32">
        <f t="shared" si="8"/>
        <v>159271.36842105264</v>
      </c>
      <c r="R25" s="32">
        <f t="shared" si="9"/>
        <v>14929.824561403508</v>
      </c>
      <c r="S25" s="32">
        <f t="shared" si="10"/>
        <v>0</v>
      </c>
      <c r="T25" s="32">
        <f t="shared" si="11"/>
        <v>489990.66666666669</v>
      </c>
    </row>
    <row r="26" spans="1:24" x14ac:dyDescent="0.25">
      <c r="A26" s="30">
        <f t="shared" ref="A26:A61" si="18">+A25+1</f>
        <v>15</v>
      </c>
      <c r="B26" s="42">
        <f t="shared" ref="B26:B61" si="19">+C25</f>
        <v>47133</v>
      </c>
      <c r="C26" s="31">
        <f t="shared" si="1"/>
        <v>47314</v>
      </c>
      <c r="D26" s="30">
        <f t="shared" si="5"/>
        <v>181</v>
      </c>
      <c r="E26" s="35"/>
      <c r="F26" s="32">
        <f t="shared" si="16"/>
        <v>11368421.052631579</v>
      </c>
      <c r="G26" s="33"/>
      <c r="H26" s="43">
        <f t="shared" ref="H26:N41" si="20">+H25</f>
        <v>2.6315789473684212</v>
      </c>
      <c r="I26" s="34">
        <f t="shared" si="20"/>
        <v>1.927</v>
      </c>
      <c r="J26" s="34">
        <f t="shared" si="17"/>
        <v>0.5</v>
      </c>
      <c r="K26" s="34">
        <f t="shared" si="17"/>
        <v>0.14000000000000001</v>
      </c>
      <c r="L26" s="34">
        <f t="shared" si="17"/>
        <v>0.1</v>
      </c>
      <c r="M26" s="34">
        <f t="shared" si="17"/>
        <v>2.6670000000000003</v>
      </c>
      <c r="N26" s="34">
        <f t="shared" si="17"/>
        <v>0.25</v>
      </c>
      <c r="O26" s="33"/>
      <c r="P26" s="32">
        <f t="shared" si="15"/>
        <v>315789.47368421056</v>
      </c>
      <c r="Q26" s="32">
        <f t="shared" si="8"/>
        <v>152440.10526315792</v>
      </c>
      <c r="R26" s="32">
        <f t="shared" si="9"/>
        <v>14289.473684210527</v>
      </c>
      <c r="S26" s="32">
        <f t="shared" si="10"/>
        <v>0</v>
      </c>
      <c r="T26" s="32">
        <f t="shared" si="11"/>
        <v>482519.05263157899</v>
      </c>
    </row>
    <row r="27" spans="1:24" x14ac:dyDescent="0.25">
      <c r="A27" s="30">
        <f t="shared" si="18"/>
        <v>16</v>
      </c>
      <c r="B27" s="42">
        <f t="shared" si="19"/>
        <v>47314</v>
      </c>
      <c r="C27" s="31">
        <f t="shared" si="1"/>
        <v>47498</v>
      </c>
      <c r="D27" s="30">
        <f t="shared" si="5"/>
        <v>184</v>
      </c>
      <c r="E27" s="35"/>
      <c r="F27" s="32">
        <f t="shared" si="16"/>
        <v>11052631.578947369</v>
      </c>
      <c r="G27" s="33"/>
      <c r="H27" s="43">
        <f t="shared" si="20"/>
        <v>2.6315789473684212</v>
      </c>
      <c r="I27" s="34">
        <f t="shared" si="20"/>
        <v>1.927</v>
      </c>
      <c r="J27" s="34">
        <f t="shared" si="17"/>
        <v>0.5</v>
      </c>
      <c r="K27" s="34">
        <f t="shared" si="17"/>
        <v>0.14000000000000001</v>
      </c>
      <c r="L27" s="34">
        <f t="shared" si="17"/>
        <v>0.1</v>
      </c>
      <c r="M27" s="34">
        <f t="shared" si="17"/>
        <v>2.6670000000000003</v>
      </c>
      <c r="N27" s="34">
        <f t="shared" si="17"/>
        <v>0.25</v>
      </c>
      <c r="O27" s="33"/>
      <c r="P27" s="32">
        <f t="shared" si="15"/>
        <v>315789.47368421056</v>
      </c>
      <c r="Q27" s="32">
        <f t="shared" si="8"/>
        <v>150662.10526315792</v>
      </c>
      <c r="R27" s="32">
        <f t="shared" si="9"/>
        <v>14122.807017543861</v>
      </c>
      <c r="S27" s="32">
        <f t="shared" si="10"/>
        <v>0</v>
      </c>
      <c r="T27" s="32">
        <f t="shared" si="11"/>
        <v>480574.38596491236</v>
      </c>
    </row>
    <row r="28" spans="1:24" x14ac:dyDescent="0.25">
      <c r="A28" s="30">
        <f t="shared" si="18"/>
        <v>17</v>
      </c>
      <c r="B28" s="42">
        <f t="shared" si="19"/>
        <v>47498</v>
      </c>
      <c r="C28" s="31">
        <f t="shared" si="1"/>
        <v>47679</v>
      </c>
      <c r="D28" s="30">
        <f t="shared" si="5"/>
        <v>181</v>
      </c>
      <c r="E28" s="35"/>
      <c r="F28" s="32">
        <f t="shared" si="16"/>
        <v>10736842.105263159</v>
      </c>
      <c r="G28" s="33"/>
      <c r="H28" s="43">
        <f t="shared" si="20"/>
        <v>2.6315789473684212</v>
      </c>
      <c r="I28" s="34">
        <f t="shared" si="20"/>
        <v>1.927</v>
      </c>
      <c r="J28" s="34">
        <f t="shared" si="17"/>
        <v>0.5</v>
      </c>
      <c r="K28" s="34">
        <f t="shared" si="17"/>
        <v>0.14000000000000001</v>
      </c>
      <c r="L28" s="34">
        <f t="shared" si="17"/>
        <v>0.1</v>
      </c>
      <c r="M28" s="34">
        <f t="shared" si="17"/>
        <v>2.6670000000000003</v>
      </c>
      <c r="N28" s="34">
        <f t="shared" si="17"/>
        <v>0.25</v>
      </c>
      <c r="O28" s="33"/>
      <c r="P28" s="32">
        <f t="shared" si="15"/>
        <v>315789.47368421056</v>
      </c>
      <c r="Q28" s="32">
        <f t="shared" si="8"/>
        <v>143971.21052631582</v>
      </c>
      <c r="R28" s="32">
        <f t="shared" si="9"/>
        <v>13495.614035087721</v>
      </c>
      <c r="S28" s="32">
        <f t="shared" si="10"/>
        <v>0</v>
      </c>
      <c r="T28" s="32">
        <f t="shared" si="11"/>
        <v>473256.2982456141</v>
      </c>
    </row>
    <row r="29" spans="1:24" x14ac:dyDescent="0.25">
      <c r="A29" s="30">
        <f t="shared" si="18"/>
        <v>18</v>
      </c>
      <c r="B29" s="42">
        <f t="shared" si="19"/>
        <v>47679</v>
      </c>
      <c r="C29" s="31">
        <f t="shared" si="1"/>
        <v>47863</v>
      </c>
      <c r="D29" s="30">
        <f t="shared" si="5"/>
        <v>184</v>
      </c>
      <c r="E29" s="35"/>
      <c r="F29" s="32">
        <f t="shared" si="16"/>
        <v>10421052.631578948</v>
      </c>
      <c r="G29" s="33"/>
      <c r="H29" s="43">
        <f t="shared" si="20"/>
        <v>2.6315789473684212</v>
      </c>
      <c r="I29" s="34">
        <f t="shared" si="20"/>
        <v>1.927</v>
      </c>
      <c r="J29" s="34">
        <f t="shared" si="17"/>
        <v>0.5</v>
      </c>
      <c r="K29" s="34">
        <f t="shared" si="17"/>
        <v>0.14000000000000001</v>
      </c>
      <c r="L29" s="34">
        <f t="shared" si="17"/>
        <v>0.1</v>
      </c>
      <c r="M29" s="34">
        <f t="shared" si="17"/>
        <v>2.6670000000000003</v>
      </c>
      <c r="N29" s="34">
        <f t="shared" si="17"/>
        <v>0.25</v>
      </c>
      <c r="O29" s="33"/>
      <c r="P29" s="32">
        <f t="shared" si="15"/>
        <v>315789.47368421056</v>
      </c>
      <c r="Q29" s="32">
        <f t="shared" si="8"/>
        <v>142052.84210526317</v>
      </c>
      <c r="R29" s="32">
        <f t="shared" si="9"/>
        <v>13315.789473684212</v>
      </c>
      <c r="S29" s="32">
        <f t="shared" si="10"/>
        <v>0</v>
      </c>
      <c r="T29" s="32">
        <f t="shared" si="11"/>
        <v>471158.10526315792</v>
      </c>
    </row>
    <row r="30" spans="1:24" x14ac:dyDescent="0.25">
      <c r="A30" s="30">
        <f t="shared" si="18"/>
        <v>19</v>
      </c>
      <c r="B30" s="42">
        <f t="shared" si="19"/>
        <v>47863</v>
      </c>
      <c r="C30" s="31">
        <f t="shared" si="1"/>
        <v>48044</v>
      </c>
      <c r="D30" s="30">
        <f t="shared" si="5"/>
        <v>181</v>
      </c>
      <c r="E30" s="35"/>
      <c r="F30" s="32">
        <f t="shared" si="16"/>
        <v>10105263.157894738</v>
      </c>
      <c r="G30" s="33"/>
      <c r="H30" s="43">
        <f t="shared" si="20"/>
        <v>2.6315789473684212</v>
      </c>
      <c r="I30" s="34">
        <f t="shared" si="20"/>
        <v>1.927</v>
      </c>
      <c r="J30" s="34">
        <f t="shared" si="17"/>
        <v>0.5</v>
      </c>
      <c r="K30" s="34">
        <f t="shared" si="17"/>
        <v>0.14000000000000001</v>
      </c>
      <c r="L30" s="34">
        <f t="shared" si="17"/>
        <v>0.1</v>
      </c>
      <c r="M30" s="34">
        <f t="shared" si="17"/>
        <v>2.6670000000000003</v>
      </c>
      <c r="N30" s="34">
        <f t="shared" si="17"/>
        <v>0.25</v>
      </c>
      <c r="O30" s="33"/>
      <c r="P30" s="32">
        <f t="shared" si="15"/>
        <v>315789.47368421056</v>
      </c>
      <c r="Q30" s="32">
        <f t="shared" si="8"/>
        <v>135502.31578947371</v>
      </c>
      <c r="R30" s="32">
        <f t="shared" si="9"/>
        <v>12701.754385964914</v>
      </c>
      <c r="S30" s="32">
        <f t="shared" si="10"/>
        <v>0</v>
      </c>
      <c r="T30" s="32">
        <f t="shared" si="11"/>
        <v>463993.54385964916</v>
      </c>
    </row>
    <row r="31" spans="1:24" x14ac:dyDescent="0.25">
      <c r="A31" s="30">
        <f t="shared" si="18"/>
        <v>20</v>
      </c>
      <c r="B31" s="42">
        <f t="shared" si="19"/>
        <v>48044</v>
      </c>
      <c r="C31" s="31">
        <f t="shared" si="1"/>
        <v>48228</v>
      </c>
      <c r="D31" s="30">
        <f t="shared" si="5"/>
        <v>184</v>
      </c>
      <c r="E31" s="35"/>
      <c r="F31" s="32">
        <f t="shared" si="16"/>
        <v>9789473.6842105277</v>
      </c>
      <c r="G31" s="33"/>
      <c r="H31" s="43">
        <f t="shared" si="20"/>
        <v>2.6315789473684212</v>
      </c>
      <c r="I31" s="34">
        <f t="shared" si="20"/>
        <v>1.927</v>
      </c>
      <c r="J31" s="34">
        <f t="shared" si="17"/>
        <v>0.5</v>
      </c>
      <c r="K31" s="34">
        <f t="shared" si="17"/>
        <v>0.14000000000000001</v>
      </c>
      <c r="L31" s="34">
        <f t="shared" si="17"/>
        <v>0.1</v>
      </c>
      <c r="M31" s="34">
        <f t="shared" si="17"/>
        <v>2.6670000000000003</v>
      </c>
      <c r="N31" s="34">
        <f t="shared" si="17"/>
        <v>0.25</v>
      </c>
      <c r="O31" s="33"/>
      <c r="P31" s="32">
        <f t="shared" si="15"/>
        <v>315789.47368421056</v>
      </c>
      <c r="Q31" s="32">
        <f t="shared" si="8"/>
        <v>133443.57894736846</v>
      </c>
      <c r="R31" s="32">
        <f t="shared" si="9"/>
        <v>12508.771929824565</v>
      </c>
      <c r="S31" s="32">
        <f t="shared" si="10"/>
        <v>0</v>
      </c>
      <c r="T31" s="32">
        <f t="shared" si="11"/>
        <v>461741.82456140354</v>
      </c>
    </row>
    <row r="32" spans="1:24" x14ac:dyDescent="0.25">
      <c r="A32" s="30">
        <f t="shared" si="18"/>
        <v>21</v>
      </c>
      <c r="B32" s="42">
        <f t="shared" si="19"/>
        <v>48228</v>
      </c>
      <c r="C32" s="31">
        <f t="shared" si="1"/>
        <v>48410</v>
      </c>
      <c r="D32" s="30">
        <f t="shared" si="5"/>
        <v>182</v>
      </c>
      <c r="E32" s="35"/>
      <c r="F32" s="32">
        <f t="shared" si="16"/>
        <v>9473684.2105263174</v>
      </c>
      <c r="G32" s="33"/>
      <c r="H32" s="43">
        <f t="shared" si="20"/>
        <v>2.6315789473684212</v>
      </c>
      <c r="I32" s="34">
        <f t="shared" si="20"/>
        <v>1.927</v>
      </c>
      <c r="J32" s="34">
        <f t="shared" si="17"/>
        <v>0.5</v>
      </c>
      <c r="K32" s="34">
        <f t="shared" si="17"/>
        <v>0.14000000000000001</v>
      </c>
      <c r="L32" s="34">
        <f t="shared" si="17"/>
        <v>0.1</v>
      </c>
      <c r="M32" s="34">
        <f t="shared" si="17"/>
        <v>2.6670000000000003</v>
      </c>
      <c r="N32" s="34">
        <f t="shared" si="17"/>
        <v>0.25</v>
      </c>
      <c r="O32" s="33"/>
      <c r="P32" s="32">
        <f t="shared" si="15"/>
        <v>315789.47368421056</v>
      </c>
      <c r="Q32" s="32">
        <f t="shared" si="8"/>
        <v>127735.26315789478</v>
      </c>
      <c r="R32" s="32">
        <f t="shared" si="9"/>
        <v>11973.684210526317</v>
      </c>
      <c r="S32" s="32">
        <f t="shared" si="10"/>
        <v>0</v>
      </c>
      <c r="T32" s="32">
        <f t="shared" si="11"/>
        <v>455498.42105263163</v>
      </c>
    </row>
    <row r="33" spans="1:20" x14ac:dyDescent="0.25">
      <c r="A33" s="30">
        <f t="shared" si="18"/>
        <v>22</v>
      </c>
      <c r="B33" s="42">
        <f t="shared" si="19"/>
        <v>48410</v>
      </c>
      <c r="C33" s="31">
        <f t="shared" si="1"/>
        <v>48594</v>
      </c>
      <c r="D33" s="30">
        <f t="shared" si="5"/>
        <v>184</v>
      </c>
      <c r="E33" s="35"/>
      <c r="F33" s="32">
        <f t="shared" si="16"/>
        <v>9157894.736842107</v>
      </c>
      <c r="G33" s="33"/>
      <c r="H33" s="43">
        <f t="shared" si="20"/>
        <v>2.6315789473684212</v>
      </c>
      <c r="I33" s="34">
        <f t="shared" si="20"/>
        <v>1.927</v>
      </c>
      <c r="J33" s="34">
        <f t="shared" si="17"/>
        <v>0.5</v>
      </c>
      <c r="K33" s="34">
        <f t="shared" si="17"/>
        <v>0.14000000000000001</v>
      </c>
      <c r="L33" s="34">
        <f t="shared" si="17"/>
        <v>0.1</v>
      </c>
      <c r="M33" s="34">
        <f t="shared" si="17"/>
        <v>2.6670000000000003</v>
      </c>
      <c r="N33" s="34">
        <f t="shared" si="17"/>
        <v>0.25</v>
      </c>
      <c r="O33" s="33"/>
      <c r="P33" s="32">
        <f t="shared" si="15"/>
        <v>315789.47368421056</v>
      </c>
      <c r="Q33" s="32">
        <f t="shared" si="8"/>
        <v>124834.31578947372</v>
      </c>
      <c r="R33" s="32">
        <f t="shared" si="9"/>
        <v>11701.754385964914</v>
      </c>
      <c r="S33" s="32">
        <f t="shared" si="10"/>
        <v>0</v>
      </c>
      <c r="T33" s="32">
        <f t="shared" si="11"/>
        <v>452325.54385964916</v>
      </c>
    </row>
    <row r="34" spans="1:20" x14ac:dyDescent="0.25">
      <c r="A34" s="30">
        <f t="shared" si="18"/>
        <v>23</v>
      </c>
      <c r="B34" s="42">
        <f t="shared" si="19"/>
        <v>48594</v>
      </c>
      <c r="C34" s="31">
        <f t="shared" si="1"/>
        <v>48775</v>
      </c>
      <c r="D34" s="30">
        <f t="shared" si="5"/>
        <v>181</v>
      </c>
      <c r="E34" s="35"/>
      <c r="F34" s="32">
        <f t="shared" si="16"/>
        <v>8842105.2631578967</v>
      </c>
      <c r="G34" s="33"/>
      <c r="H34" s="43">
        <f t="shared" si="20"/>
        <v>2.6315789473684212</v>
      </c>
      <c r="I34" s="34">
        <f t="shared" si="20"/>
        <v>1.927</v>
      </c>
      <c r="J34" s="34">
        <f t="shared" si="17"/>
        <v>0.5</v>
      </c>
      <c r="K34" s="34">
        <f t="shared" si="17"/>
        <v>0.14000000000000001</v>
      </c>
      <c r="L34" s="34">
        <f t="shared" si="17"/>
        <v>0.1</v>
      </c>
      <c r="M34" s="34">
        <f t="shared" si="17"/>
        <v>2.6670000000000003</v>
      </c>
      <c r="N34" s="34">
        <f t="shared" si="17"/>
        <v>0.25</v>
      </c>
      <c r="O34" s="33"/>
      <c r="P34" s="32">
        <f t="shared" si="15"/>
        <v>315789.47368421056</v>
      </c>
      <c r="Q34" s="32">
        <f t="shared" si="8"/>
        <v>118564.52631578951</v>
      </c>
      <c r="R34" s="32">
        <f t="shared" si="9"/>
        <v>11114.035087719301</v>
      </c>
      <c r="S34" s="32">
        <f t="shared" si="10"/>
        <v>0</v>
      </c>
      <c r="T34" s="32">
        <f t="shared" si="11"/>
        <v>445468.03508771939</v>
      </c>
    </row>
    <row r="35" spans="1:20" x14ac:dyDescent="0.25">
      <c r="A35" s="30">
        <f t="shared" si="18"/>
        <v>24</v>
      </c>
      <c r="B35" s="42">
        <f t="shared" si="19"/>
        <v>48775</v>
      </c>
      <c r="C35" s="31">
        <f t="shared" si="1"/>
        <v>48959</v>
      </c>
      <c r="D35" s="30">
        <f t="shared" si="5"/>
        <v>184</v>
      </c>
      <c r="E35" s="35"/>
      <c r="F35" s="32">
        <f t="shared" si="16"/>
        <v>8526315.7894736864</v>
      </c>
      <c r="G35" s="33"/>
      <c r="H35" s="43">
        <f t="shared" si="20"/>
        <v>2.6315789473684212</v>
      </c>
      <c r="I35" s="34">
        <f t="shared" si="20"/>
        <v>1.927</v>
      </c>
      <c r="J35" s="34">
        <f t="shared" si="17"/>
        <v>0.5</v>
      </c>
      <c r="K35" s="34">
        <f t="shared" si="17"/>
        <v>0.14000000000000001</v>
      </c>
      <c r="L35" s="34">
        <f t="shared" si="17"/>
        <v>0.1</v>
      </c>
      <c r="M35" s="34">
        <f t="shared" si="17"/>
        <v>2.6670000000000003</v>
      </c>
      <c r="N35" s="34">
        <f t="shared" si="17"/>
        <v>0.25</v>
      </c>
      <c r="O35" s="33"/>
      <c r="P35" s="32">
        <f t="shared" si="15"/>
        <v>315789.47368421056</v>
      </c>
      <c r="Q35" s="32">
        <f t="shared" si="8"/>
        <v>116225.05263157899</v>
      </c>
      <c r="R35" s="32">
        <f t="shared" si="9"/>
        <v>10894.736842105265</v>
      </c>
      <c r="S35" s="32">
        <f t="shared" si="10"/>
        <v>0</v>
      </c>
      <c r="T35" s="32">
        <f t="shared" si="11"/>
        <v>442909.26315789483</v>
      </c>
    </row>
    <row r="36" spans="1:20" x14ac:dyDescent="0.25">
      <c r="A36" s="30">
        <f t="shared" si="18"/>
        <v>25</v>
      </c>
      <c r="B36" s="42">
        <f t="shared" si="19"/>
        <v>48959</v>
      </c>
      <c r="C36" s="31">
        <f t="shared" si="1"/>
        <v>49140</v>
      </c>
      <c r="D36" s="30">
        <f t="shared" si="5"/>
        <v>181</v>
      </c>
      <c r="E36" s="35"/>
      <c r="F36" s="32">
        <f t="shared" si="16"/>
        <v>8210526.315789476</v>
      </c>
      <c r="G36" s="33"/>
      <c r="H36" s="43">
        <f t="shared" si="20"/>
        <v>2.6315789473684212</v>
      </c>
      <c r="I36" s="34">
        <f t="shared" si="20"/>
        <v>1.927</v>
      </c>
      <c r="J36" s="34">
        <f t="shared" si="17"/>
        <v>0.5</v>
      </c>
      <c r="K36" s="34">
        <f t="shared" si="17"/>
        <v>0.14000000000000001</v>
      </c>
      <c r="L36" s="34">
        <f t="shared" si="17"/>
        <v>0.1</v>
      </c>
      <c r="M36" s="34">
        <f t="shared" si="17"/>
        <v>2.6670000000000003</v>
      </c>
      <c r="N36" s="34">
        <f t="shared" si="17"/>
        <v>0.25</v>
      </c>
      <c r="O36" s="33"/>
      <c r="P36" s="32">
        <f t="shared" si="15"/>
        <v>315789.47368421056</v>
      </c>
      <c r="Q36" s="32">
        <f t="shared" si="8"/>
        <v>110095.6315789474</v>
      </c>
      <c r="R36" s="32">
        <f t="shared" si="9"/>
        <v>10320.175438596494</v>
      </c>
      <c r="S36" s="32">
        <f t="shared" si="10"/>
        <v>0</v>
      </c>
      <c r="T36" s="32">
        <f t="shared" si="11"/>
        <v>436205.2807017545</v>
      </c>
    </row>
    <row r="37" spans="1:20" x14ac:dyDescent="0.25">
      <c r="A37" s="30">
        <f t="shared" si="18"/>
        <v>26</v>
      </c>
      <c r="B37" s="42">
        <f t="shared" si="19"/>
        <v>49140</v>
      </c>
      <c r="C37" s="31">
        <f t="shared" si="1"/>
        <v>49324</v>
      </c>
      <c r="D37" s="30">
        <f t="shared" si="5"/>
        <v>184</v>
      </c>
      <c r="E37" s="35"/>
      <c r="F37" s="32">
        <f t="shared" si="16"/>
        <v>7894736.8421052657</v>
      </c>
      <c r="G37" s="33"/>
      <c r="H37" s="43">
        <f t="shared" si="20"/>
        <v>2.6315789473684212</v>
      </c>
      <c r="I37" s="34">
        <f t="shared" si="20"/>
        <v>1.927</v>
      </c>
      <c r="J37" s="34">
        <f t="shared" si="17"/>
        <v>0.5</v>
      </c>
      <c r="K37" s="34">
        <f t="shared" si="17"/>
        <v>0.14000000000000001</v>
      </c>
      <c r="L37" s="34">
        <f t="shared" si="17"/>
        <v>0.1</v>
      </c>
      <c r="M37" s="34">
        <f t="shared" si="17"/>
        <v>2.6670000000000003</v>
      </c>
      <c r="N37" s="34">
        <f t="shared" si="17"/>
        <v>0.25</v>
      </c>
      <c r="O37" s="33"/>
      <c r="P37" s="32">
        <f t="shared" si="15"/>
        <v>315789.47368421056</v>
      </c>
      <c r="Q37" s="32">
        <f t="shared" si="8"/>
        <v>107615.78947368426</v>
      </c>
      <c r="R37" s="32">
        <f t="shared" si="9"/>
        <v>10087.719298245616</v>
      </c>
      <c r="S37" s="32">
        <f t="shared" si="10"/>
        <v>0</v>
      </c>
      <c r="T37" s="32">
        <f t="shared" si="11"/>
        <v>433492.98245614045</v>
      </c>
    </row>
    <row r="38" spans="1:20" x14ac:dyDescent="0.25">
      <c r="A38" s="30">
        <f t="shared" si="18"/>
        <v>27</v>
      </c>
      <c r="B38" s="42">
        <f t="shared" si="19"/>
        <v>49324</v>
      </c>
      <c r="C38" s="31">
        <f t="shared" si="1"/>
        <v>49505</v>
      </c>
      <c r="D38" s="30">
        <f t="shared" si="5"/>
        <v>181</v>
      </c>
      <c r="E38" s="35"/>
      <c r="F38" s="32">
        <f t="shared" si="16"/>
        <v>7578947.3684210554</v>
      </c>
      <c r="G38" s="33"/>
      <c r="H38" s="43">
        <f t="shared" si="20"/>
        <v>2.6315789473684212</v>
      </c>
      <c r="I38" s="34">
        <f t="shared" si="20"/>
        <v>1.927</v>
      </c>
      <c r="J38" s="34">
        <f t="shared" si="17"/>
        <v>0.5</v>
      </c>
      <c r="K38" s="34">
        <f t="shared" si="17"/>
        <v>0.14000000000000001</v>
      </c>
      <c r="L38" s="34">
        <f t="shared" si="17"/>
        <v>0.1</v>
      </c>
      <c r="M38" s="34">
        <f t="shared" si="17"/>
        <v>2.6670000000000003</v>
      </c>
      <c r="N38" s="34">
        <f t="shared" si="17"/>
        <v>0.25</v>
      </c>
      <c r="O38" s="33"/>
      <c r="P38" s="32">
        <f t="shared" si="15"/>
        <v>315789.47368421056</v>
      </c>
      <c r="Q38" s="32">
        <f t="shared" si="8"/>
        <v>101626.73684210531</v>
      </c>
      <c r="R38" s="32">
        <f t="shared" si="9"/>
        <v>9526.3157894736869</v>
      </c>
      <c r="S38" s="32">
        <f t="shared" si="10"/>
        <v>0</v>
      </c>
      <c r="T38" s="32">
        <f t="shared" si="11"/>
        <v>426942.52631578955</v>
      </c>
    </row>
    <row r="39" spans="1:20" x14ac:dyDescent="0.25">
      <c r="A39" s="30">
        <f t="shared" si="18"/>
        <v>28</v>
      </c>
      <c r="B39" s="42">
        <f t="shared" si="19"/>
        <v>49505</v>
      </c>
      <c r="C39" s="31">
        <f t="shared" si="1"/>
        <v>49689</v>
      </c>
      <c r="D39" s="30">
        <f t="shared" si="5"/>
        <v>184</v>
      </c>
      <c r="E39" s="35"/>
      <c r="F39" s="32">
        <f t="shared" si="16"/>
        <v>7263157.894736845</v>
      </c>
      <c r="G39" s="33"/>
      <c r="H39" s="43">
        <f t="shared" si="20"/>
        <v>2.6315789473684212</v>
      </c>
      <c r="I39" s="34">
        <f t="shared" si="20"/>
        <v>1.927</v>
      </c>
      <c r="J39" s="34">
        <f t="shared" si="17"/>
        <v>0.5</v>
      </c>
      <c r="K39" s="34">
        <f t="shared" si="17"/>
        <v>0.14000000000000001</v>
      </c>
      <c r="L39" s="34">
        <f t="shared" si="17"/>
        <v>0.1</v>
      </c>
      <c r="M39" s="34">
        <f t="shared" si="17"/>
        <v>2.6670000000000003</v>
      </c>
      <c r="N39" s="34">
        <f t="shared" si="17"/>
        <v>0.25</v>
      </c>
      <c r="O39" s="33"/>
      <c r="P39" s="32">
        <f t="shared" si="15"/>
        <v>315789.47368421056</v>
      </c>
      <c r="Q39" s="32">
        <f t="shared" si="8"/>
        <v>99006.526315789524</v>
      </c>
      <c r="R39" s="32">
        <f t="shared" si="9"/>
        <v>9280.7017543859693</v>
      </c>
      <c r="S39" s="32">
        <f t="shared" si="10"/>
        <v>0</v>
      </c>
      <c r="T39" s="32">
        <f t="shared" si="11"/>
        <v>424076.70175438607</v>
      </c>
    </row>
    <row r="40" spans="1:20" x14ac:dyDescent="0.25">
      <c r="A40" s="30">
        <f t="shared" si="18"/>
        <v>29</v>
      </c>
      <c r="B40" s="42">
        <f t="shared" si="19"/>
        <v>49689</v>
      </c>
      <c r="C40" s="31">
        <f t="shared" si="1"/>
        <v>49871</v>
      </c>
      <c r="D40" s="30">
        <f t="shared" si="5"/>
        <v>182</v>
      </c>
      <c r="E40" s="35"/>
      <c r="F40" s="32">
        <f t="shared" si="16"/>
        <v>6947368.4210526347</v>
      </c>
      <c r="G40" s="33"/>
      <c r="H40" s="43">
        <f t="shared" si="20"/>
        <v>2.6315789473684212</v>
      </c>
      <c r="I40" s="34">
        <f t="shared" si="20"/>
        <v>1.927</v>
      </c>
      <c r="J40" s="34">
        <f t="shared" si="17"/>
        <v>0.5</v>
      </c>
      <c r="K40" s="34">
        <f t="shared" si="17"/>
        <v>0.14000000000000001</v>
      </c>
      <c r="L40" s="34">
        <f t="shared" si="17"/>
        <v>0.1</v>
      </c>
      <c r="M40" s="34">
        <f t="shared" si="17"/>
        <v>2.6670000000000003</v>
      </c>
      <c r="N40" s="34">
        <f t="shared" si="17"/>
        <v>0.25</v>
      </c>
      <c r="O40" s="33"/>
      <c r="P40" s="32">
        <f t="shared" si="15"/>
        <v>315789.47368421056</v>
      </c>
      <c r="Q40" s="32">
        <f t="shared" si="8"/>
        <v>93672.526315789524</v>
      </c>
      <c r="R40" s="32">
        <f t="shared" si="9"/>
        <v>8780.7017543859693</v>
      </c>
      <c r="S40" s="32">
        <f t="shared" si="10"/>
        <v>0</v>
      </c>
      <c r="T40" s="32">
        <f t="shared" si="11"/>
        <v>418242.70175438607</v>
      </c>
    </row>
    <row r="41" spans="1:20" x14ac:dyDescent="0.25">
      <c r="A41" s="30">
        <f t="shared" si="18"/>
        <v>30</v>
      </c>
      <c r="B41" s="42">
        <f t="shared" si="19"/>
        <v>49871</v>
      </c>
      <c r="C41" s="31">
        <f t="shared" si="1"/>
        <v>50055</v>
      </c>
      <c r="D41" s="30">
        <f t="shared" si="5"/>
        <v>184</v>
      </c>
      <c r="E41" s="35"/>
      <c r="F41" s="32">
        <f t="shared" si="16"/>
        <v>6631578.9473684244</v>
      </c>
      <c r="G41" s="33"/>
      <c r="H41" s="43">
        <f t="shared" si="20"/>
        <v>2.6315789473684212</v>
      </c>
      <c r="I41" s="34">
        <f t="shared" si="20"/>
        <v>1.927</v>
      </c>
      <c r="J41" s="34">
        <f t="shared" si="20"/>
        <v>0.5</v>
      </c>
      <c r="K41" s="34">
        <f t="shared" si="20"/>
        <v>0.14000000000000001</v>
      </c>
      <c r="L41" s="34">
        <f t="shared" si="20"/>
        <v>0.1</v>
      </c>
      <c r="M41" s="34">
        <f t="shared" si="20"/>
        <v>2.6670000000000003</v>
      </c>
      <c r="N41" s="34">
        <f t="shared" si="20"/>
        <v>0.25</v>
      </c>
      <c r="O41" s="33"/>
      <c r="P41" s="32">
        <f t="shared" si="15"/>
        <v>315789.47368421056</v>
      </c>
      <c r="Q41" s="32">
        <f t="shared" si="8"/>
        <v>90397.263157894791</v>
      </c>
      <c r="R41" s="32">
        <f t="shared" si="9"/>
        <v>8473.6842105263204</v>
      </c>
      <c r="S41" s="32">
        <f t="shared" si="10"/>
        <v>0</v>
      </c>
      <c r="T41" s="32">
        <f t="shared" si="11"/>
        <v>414660.42105263169</v>
      </c>
    </row>
    <row r="42" spans="1:20" x14ac:dyDescent="0.25">
      <c r="A42" s="30">
        <f t="shared" si="18"/>
        <v>31</v>
      </c>
      <c r="B42" s="42">
        <f t="shared" si="19"/>
        <v>50055</v>
      </c>
      <c r="C42" s="31">
        <f t="shared" si="1"/>
        <v>50236</v>
      </c>
      <c r="D42" s="30">
        <f t="shared" si="5"/>
        <v>181</v>
      </c>
      <c r="E42" s="35"/>
      <c r="F42" s="32">
        <f t="shared" si="16"/>
        <v>6315789.4736842141</v>
      </c>
      <c r="G42" s="33"/>
      <c r="H42" s="43">
        <f t="shared" ref="H42:N57" si="21">+H41</f>
        <v>2.6315789473684212</v>
      </c>
      <c r="I42" s="34">
        <f t="shared" si="21"/>
        <v>1.927</v>
      </c>
      <c r="J42" s="34">
        <f t="shared" si="21"/>
        <v>0.5</v>
      </c>
      <c r="K42" s="34">
        <f t="shared" si="21"/>
        <v>0.14000000000000001</v>
      </c>
      <c r="L42" s="34">
        <f t="shared" si="21"/>
        <v>0.1</v>
      </c>
      <c r="M42" s="34">
        <f t="shared" si="21"/>
        <v>2.6670000000000003</v>
      </c>
      <c r="N42" s="34">
        <f t="shared" si="21"/>
        <v>0.25</v>
      </c>
      <c r="O42" s="33"/>
      <c r="P42" s="32">
        <f t="shared" si="15"/>
        <v>315789.47368421056</v>
      </c>
      <c r="Q42" s="32">
        <f t="shared" si="8"/>
        <v>84688.947368421112</v>
      </c>
      <c r="R42" s="32">
        <f t="shared" si="9"/>
        <v>7938.5964912280751</v>
      </c>
      <c r="S42" s="32">
        <f t="shared" si="10"/>
        <v>0</v>
      </c>
      <c r="T42" s="32">
        <f t="shared" si="11"/>
        <v>408417.01754385978</v>
      </c>
    </row>
    <row r="43" spans="1:20" x14ac:dyDescent="0.25">
      <c r="A43" s="30">
        <f t="shared" si="18"/>
        <v>32</v>
      </c>
      <c r="B43" s="42">
        <f t="shared" si="19"/>
        <v>50236</v>
      </c>
      <c r="C43" s="31">
        <f t="shared" si="1"/>
        <v>50420</v>
      </c>
      <c r="D43" s="30">
        <f t="shared" si="5"/>
        <v>184</v>
      </c>
      <c r="E43" s="35"/>
      <c r="F43" s="32">
        <f t="shared" si="16"/>
        <v>6000000.0000000037</v>
      </c>
      <c r="G43" s="33"/>
      <c r="H43" s="43">
        <f t="shared" si="21"/>
        <v>2.6315789473684212</v>
      </c>
      <c r="I43" s="34">
        <f t="shared" si="21"/>
        <v>1.927</v>
      </c>
      <c r="J43" s="34">
        <f t="shared" si="21"/>
        <v>0.5</v>
      </c>
      <c r="K43" s="34">
        <f t="shared" si="21"/>
        <v>0.14000000000000001</v>
      </c>
      <c r="L43" s="34">
        <f t="shared" si="21"/>
        <v>0.1</v>
      </c>
      <c r="M43" s="34">
        <f t="shared" si="21"/>
        <v>2.6670000000000003</v>
      </c>
      <c r="N43" s="34">
        <f t="shared" si="21"/>
        <v>0.25</v>
      </c>
      <c r="O43" s="33"/>
      <c r="P43" s="32">
        <f t="shared" si="15"/>
        <v>315789.47368421056</v>
      </c>
      <c r="Q43" s="32">
        <f t="shared" si="8"/>
        <v>81788.000000000058</v>
      </c>
      <c r="R43" s="32">
        <f t="shared" si="9"/>
        <v>7666.6666666666715</v>
      </c>
      <c r="S43" s="32">
        <f t="shared" si="10"/>
        <v>0</v>
      </c>
      <c r="T43" s="32">
        <f t="shared" si="11"/>
        <v>405244.14035087731</v>
      </c>
    </row>
    <row r="44" spans="1:20" x14ac:dyDescent="0.25">
      <c r="A44" s="30">
        <f t="shared" si="18"/>
        <v>33</v>
      </c>
      <c r="B44" s="42">
        <f t="shared" si="19"/>
        <v>50420</v>
      </c>
      <c r="C44" s="31">
        <f t="shared" si="1"/>
        <v>50601</v>
      </c>
      <c r="D44" s="30">
        <f t="shared" si="5"/>
        <v>181</v>
      </c>
      <c r="E44" s="35"/>
      <c r="F44" s="32">
        <f t="shared" si="16"/>
        <v>5684210.5263157934</v>
      </c>
      <c r="G44" s="33"/>
      <c r="H44" s="43">
        <f t="shared" si="21"/>
        <v>2.6315789473684212</v>
      </c>
      <c r="I44" s="34">
        <f t="shared" si="21"/>
        <v>1.927</v>
      </c>
      <c r="J44" s="34">
        <f t="shared" si="21"/>
        <v>0.5</v>
      </c>
      <c r="K44" s="34">
        <f t="shared" si="21"/>
        <v>0.14000000000000001</v>
      </c>
      <c r="L44" s="34">
        <f t="shared" si="21"/>
        <v>0.1</v>
      </c>
      <c r="M44" s="34">
        <f t="shared" si="21"/>
        <v>2.6670000000000003</v>
      </c>
      <c r="N44" s="34">
        <f t="shared" si="21"/>
        <v>0.25</v>
      </c>
      <c r="O44" s="33"/>
      <c r="P44" s="32">
        <f t="shared" si="15"/>
        <v>315789.47368421056</v>
      </c>
      <c r="Q44" s="32">
        <f t="shared" si="8"/>
        <v>76220.052631579005</v>
      </c>
      <c r="R44" s="32">
        <f t="shared" si="9"/>
        <v>7144.7368421052688</v>
      </c>
      <c r="S44" s="32">
        <f t="shared" si="10"/>
        <v>0</v>
      </c>
      <c r="T44" s="32">
        <f t="shared" si="11"/>
        <v>399154.26315789483</v>
      </c>
    </row>
    <row r="45" spans="1:20" x14ac:dyDescent="0.25">
      <c r="A45" s="30">
        <f t="shared" si="18"/>
        <v>34</v>
      </c>
      <c r="B45" s="42">
        <f t="shared" si="19"/>
        <v>50601</v>
      </c>
      <c r="C45" s="31">
        <f t="shared" si="1"/>
        <v>50785</v>
      </c>
      <c r="D45" s="30">
        <f t="shared" si="5"/>
        <v>184</v>
      </c>
      <c r="E45" s="35"/>
      <c r="F45" s="32">
        <f t="shared" si="16"/>
        <v>5368421.0526315831</v>
      </c>
      <c r="G45" s="33"/>
      <c r="H45" s="43">
        <f t="shared" si="21"/>
        <v>2.6315789473684212</v>
      </c>
      <c r="I45" s="34">
        <f t="shared" si="21"/>
        <v>1.927</v>
      </c>
      <c r="J45" s="34">
        <f t="shared" si="21"/>
        <v>0.5</v>
      </c>
      <c r="K45" s="34">
        <f t="shared" si="21"/>
        <v>0.14000000000000001</v>
      </c>
      <c r="L45" s="34">
        <f t="shared" si="21"/>
        <v>0.1</v>
      </c>
      <c r="M45" s="34">
        <f t="shared" si="21"/>
        <v>2.6670000000000003</v>
      </c>
      <c r="N45" s="34">
        <f t="shared" si="21"/>
        <v>0.25</v>
      </c>
      <c r="O45" s="33"/>
      <c r="P45" s="32">
        <f t="shared" si="15"/>
        <v>315789.47368421056</v>
      </c>
      <c r="Q45" s="32">
        <f t="shared" si="8"/>
        <v>73178.736842105325</v>
      </c>
      <c r="R45" s="32">
        <f t="shared" si="9"/>
        <v>6859.6491228070226</v>
      </c>
      <c r="S45" s="32">
        <f t="shared" si="10"/>
        <v>0</v>
      </c>
      <c r="T45" s="32">
        <f t="shared" si="11"/>
        <v>395827.85964912293</v>
      </c>
    </row>
    <row r="46" spans="1:20" x14ac:dyDescent="0.25">
      <c r="A46" s="30">
        <f t="shared" si="18"/>
        <v>35</v>
      </c>
      <c r="B46" s="42">
        <f t="shared" si="19"/>
        <v>50785</v>
      </c>
      <c r="C46" s="31">
        <f t="shared" si="1"/>
        <v>50966</v>
      </c>
      <c r="D46" s="30">
        <f t="shared" si="5"/>
        <v>181</v>
      </c>
      <c r="E46" s="44"/>
      <c r="F46" s="32">
        <f t="shared" si="16"/>
        <v>5052631.5789473727</v>
      </c>
      <c r="G46" s="33"/>
      <c r="H46" s="43">
        <f t="shared" si="21"/>
        <v>2.6315789473684212</v>
      </c>
      <c r="I46" s="34">
        <f t="shared" si="21"/>
        <v>1.927</v>
      </c>
      <c r="J46" s="34">
        <f t="shared" si="21"/>
        <v>0.5</v>
      </c>
      <c r="K46" s="34">
        <f t="shared" si="21"/>
        <v>0.14000000000000001</v>
      </c>
      <c r="L46" s="34">
        <f t="shared" si="21"/>
        <v>0.1</v>
      </c>
      <c r="M46" s="34">
        <f t="shared" si="21"/>
        <v>2.6670000000000003</v>
      </c>
      <c r="N46" s="34">
        <f t="shared" si="21"/>
        <v>0.25</v>
      </c>
      <c r="O46" s="33"/>
      <c r="P46" s="32">
        <f t="shared" si="15"/>
        <v>315789.47368421056</v>
      </c>
      <c r="Q46" s="32">
        <f t="shared" si="8"/>
        <v>67751.157894736898</v>
      </c>
      <c r="R46" s="32">
        <f t="shared" si="9"/>
        <v>6350.8771929824625</v>
      </c>
      <c r="S46" s="32">
        <f t="shared" si="10"/>
        <v>0</v>
      </c>
      <c r="T46" s="32">
        <f t="shared" si="11"/>
        <v>389891.50877192995</v>
      </c>
    </row>
    <row r="47" spans="1:20" x14ac:dyDescent="0.25">
      <c r="A47" s="30">
        <f t="shared" si="18"/>
        <v>36</v>
      </c>
      <c r="B47" s="42">
        <f t="shared" si="19"/>
        <v>50966</v>
      </c>
      <c r="C47" s="31">
        <f t="shared" si="1"/>
        <v>51150</v>
      </c>
      <c r="D47" s="30">
        <f t="shared" si="5"/>
        <v>184</v>
      </c>
      <c r="E47" s="44"/>
      <c r="F47" s="32">
        <f t="shared" si="16"/>
        <v>4736842.1052631624</v>
      </c>
      <c r="G47" s="33"/>
      <c r="H47" s="43">
        <f t="shared" si="21"/>
        <v>2.6315789473684212</v>
      </c>
      <c r="I47" s="34">
        <f t="shared" si="21"/>
        <v>1.927</v>
      </c>
      <c r="J47" s="34">
        <f t="shared" si="21"/>
        <v>0.5</v>
      </c>
      <c r="K47" s="34">
        <f t="shared" si="21"/>
        <v>0.14000000000000001</v>
      </c>
      <c r="L47" s="34">
        <f t="shared" si="21"/>
        <v>0.1</v>
      </c>
      <c r="M47" s="34">
        <f t="shared" si="21"/>
        <v>2.6670000000000003</v>
      </c>
      <c r="N47" s="34">
        <f t="shared" si="21"/>
        <v>0.25</v>
      </c>
      <c r="O47" s="33"/>
      <c r="P47" s="32">
        <f t="shared" si="15"/>
        <v>315789.47368421056</v>
      </c>
      <c r="Q47" s="32">
        <f t="shared" si="8"/>
        <v>64569.473684210599</v>
      </c>
      <c r="R47" s="32">
        <f t="shared" si="9"/>
        <v>6052.6315789473747</v>
      </c>
      <c r="S47" s="32">
        <f t="shared" si="10"/>
        <v>0</v>
      </c>
      <c r="T47" s="32">
        <f t="shared" si="11"/>
        <v>386411.57894736854</v>
      </c>
    </row>
    <row r="48" spans="1:20" x14ac:dyDescent="0.25">
      <c r="A48" s="30">
        <f t="shared" si="18"/>
        <v>37</v>
      </c>
      <c r="B48" s="42">
        <f t="shared" si="19"/>
        <v>51150</v>
      </c>
      <c r="C48" s="31">
        <f t="shared" si="1"/>
        <v>51332</v>
      </c>
      <c r="D48" s="30">
        <f t="shared" si="5"/>
        <v>182</v>
      </c>
      <c r="E48" s="44"/>
      <c r="F48" s="32">
        <f t="shared" si="16"/>
        <v>4421052.6315789521</v>
      </c>
      <c r="G48" s="33"/>
      <c r="H48" s="43">
        <f t="shared" si="21"/>
        <v>2.6315789473684212</v>
      </c>
      <c r="I48" s="34">
        <f t="shared" si="21"/>
        <v>1.927</v>
      </c>
      <c r="J48" s="34">
        <f t="shared" si="21"/>
        <v>0.5</v>
      </c>
      <c r="K48" s="34">
        <f t="shared" si="21"/>
        <v>0.14000000000000001</v>
      </c>
      <c r="L48" s="34">
        <f t="shared" si="21"/>
        <v>0.1</v>
      </c>
      <c r="M48" s="34">
        <f t="shared" si="21"/>
        <v>2.6670000000000003</v>
      </c>
      <c r="N48" s="34">
        <f t="shared" si="21"/>
        <v>0.25</v>
      </c>
      <c r="O48" s="33"/>
      <c r="P48" s="32">
        <f t="shared" si="15"/>
        <v>315789.47368421056</v>
      </c>
      <c r="Q48" s="32">
        <f t="shared" si="8"/>
        <v>59609.789473684279</v>
      </c>
      <c r="R48" s="32">
        <f t="shared" si="9"/>
        <v>5587.7192982456208</v>
      </c>
      <c r="S48" s="32">
        <f t="shared" si="10"/>
        <v>0</v>
      </c>
      <c r="T48" s="32">
        <f t="shared" si="11"/>
        <v>380986.98245614045</v>
      </c>
    </row>
    <row r="49" spans="1:23" x14ac:dyDescent="0.25">
      <c r="A49" s="30">
        <f t="shared" si="18"/>
        <v>38</v>
      </c>
      <c r="B49" s="42">
        <f t="shared" si="19"/>
        <v>51332</v>
      </c>
      <c r="C49" s="31">
        <f t="shared" si="1"/>
        <v>51516</v>
      </c>
      <c r="D49" s="30">
        <f t="shared" si="5"/>
        <v>184</v>
      </c>
      <c r="E49" s="44"/>
      <c r="F49" s="32">
        <f t="shared" si="16"/>
        <v>4105263.1578947417</v>
      </c>
      <c r="G49" s="33"/>
      <c r="H49" s="43">
        <f t="shared" si="21"/>
        <v>2.6315789473684212</v>
      </c>
      <c r="I49" s="34">
        <f t="shared" si="21"/>
        <v>1.927</v>
      </c>
      <c r="J49" s="34">
        <f t="shared" si="21"/>
        <v>0.5</v>
      </c>
      <c r="K49" s="34">
        <f t="shared" si="21"/>
        <v>0.14000000000000001</v>
      </c>
      <c r="L49" s="34">
        <f t="shared" si="21"/>
        <v>0.1</v>
      </c>
      <c r="M49" s="34">
        <f t="shared" si="21"/>
        <v>2.6670000000000003</v>
      </c>
      <c r="N49" s="34">
        <f t="shared" si="21"/>
        <v>0.25</v>
      </c>
      <c r="O49" s="33"/>
      <c r="P49" s="32">
        <f t="shared" si="15"/>
        <v>315789.47368421056</v>
      </c>
      <c r="Q49" s="32">
        <f t="shared" si="8"/>
        <v>55960.210526315859</v>
      </c>
      <c r="R49" s="32">
        <f t="shared" si="9"/>
        <v>5245.6140350877258</v>
      </c>
      <c r="S49" s="32">
        <f t="shared" si="10"/>
        <v>0</v>
      </c>
      <c r="T49" s="32">
        <f t="shared" si="11"/>
        <v>376995.29824561416</v>
      </c>
    </row>
    <row r="50" spans="1:23" x14ac:dyDescent="0.25">
      <c r="A50" s="30">
        <f t="shared" si="18"/>
        <v>39</v>
      </c>
      <c r="B50" s="42">
        <f t="shared" si="19"/>
        <v>51516</v>
      </c>
      <c r="C50" s="31">
        <f t="shared" si="1"/>
        <v>51697</v>
      </c>
      <c r="D50" s="30">
        <f t="shared" si="5"/>
        <v>181</v>
      </c>
      <c r="E50" s="44"/>
      <c r="F50" s="32">
        <f t="shared" si="16"/>
        <v>3789473.6842105314</v>
      </c>
      <c r="G50" s="33"/>
      <c r="H50" s="43">
        <f t="shared" si="21"/>
        <v>2.6315789473684212</v>
      </c>
      <c r="I50" s="34">
        <f t="shared" si="21"/>
        <v>1.927</v>
      </c>
      <c r="J50" s="34">
        <f t="shared" si="21"/>
        <v>0.5</v>
      </c>
      <c r="K50" s="34">
        <f t="shared" si="21"/>
        <v>0.14000000000000001</v>
      </c>
      <c r="L50" s="34">
        <f t="shared" si="21"/>
        <v>0.1</v>
      </c>
      <c r="M50" s="34">
        <f t="shared" si="21"/>
        <v>2.6670000000000003</v>
      </c>
      <c r="N50" s="34">
        <f t="shared" si="21"/>
        <v>0.25</v>
      </c>
      <c r="O50" s="33"/>
      <c r="P50" s="32">
        <f t="shared" si="15"/>
        <v>315789.47368421056</v>
      </c>
      <c r="Q50" s="32">
        <f t="shared" si="8"/>
        <v>50813.368421052706</v>
      </c>
      <c r="R50" s="32">
        <f t="shared" si="9"/>
        <v>4763.1578947368489</v>
      </c>
      <c r="S50" s="32">
        <f t="shared" si="10"/>
        <v>0</v>
      </c>
      <c r="T50" s="32">
        <f t="shared" si="11"/>
        <v>371366.00000000012</v>
      </c>
    </row>
    <row r="51" spans="1:23" x14ac:dyDescent="0.25">
      <c r="A51" s="30">
        <f t="shared" si="18"/>
        <v>40</v>
      </c>
      <c r="B51" s="42">
        <f t="shared" si="19"/>
        <v>51697</v>
      </c>
      <c r="C51" s="31">
        <f t="shared" si="1"/>
        <v>51881</v>
      </c>
      <c r="D51" s="30">
        <f t="shared" si="5"/>
        <v>184</v>
      </c>
      <c r="E51" s="44"/>
      <c r="F51" s="32">
        <f t="shared" si="16"/>
        <v>3473684.2105263211</v>
      </c>
      <c r="G51" s="33"/>
      <c r="H51" s="43">
        <f t="shared" si="21"/>
        <v>2.6315789473684212</v>
      </c>
      <c r="I51" s="34">
        <f t="shared" si="21"/>
        <v>1.927</v>
      </c>
      <c r="J51" s="34">
        <f t="shared" si="21"/>
        <v>0.5</v>
      </c>
      <c r="K51" s="34">
        <f t="shared" si="21"/>
        <v>0.14000000000000001</v>
      </c>
      <c r="L51" s="34">
        <f t="shared" si="21"/>
        <v>0.1</v>
      </c>
      <c r="M51" s="34">
        <f t="shared" si="21"/>
        <v>2.6670000000000003</v>
      </c>
      <c r="N51" s="34">
        <f t="shared" si="21"/>
        <v>0.25</v>
      </c>
      <c r="O51" s="33"/>
      <c r="P51" s="32">
        <f t="shared" si="15"/>
        <v>315789.47368421056</v>
      </c>
      <c r="Q51" s="32">
        <f t="shared" si="8"/>
        <v>47350.947368421133</v>
      </c>
      <c r="R51" s="32">
        <f t="shared" si="9"/>
        <v>4438.596491228077</v>
      </c>
      <c r="S51" s="32">
        <f t="shared" si="10"/>
        <v>0</v>
      </c>
      <c r="T51" s="32">
        <f t="shared" si="11"/>
        <v>367579.01754385978</v>
      </c>
    </row>
    <row r="52" spans="1:23" x14ac:dyDescent="0.25">
      <c r="A52" s="30">
        <f t="shared" si="18"/>
        <v>41</v>
      </c>
      <c r="B52" s="42">
        <f t="shared" si="19"/>
        <v>51881</v>
      </c>
      <c r="C52" s="31">
        <f t="shared" si="1"/>
        <v>52062</v>
      </c>
      <c r="D52" s="30">
        <f t="shared" si="5"/>
        <v>181</v>
      </c>
      <c r="E52" s="44"/>
      <c r="F52" s="32">
        <f t="shared" si="16"/>
        <v>3157894.7368421108</v>
      </c>
      <c r="G52" s="33"/>
      <c r="H52" s="43">
        <f t="shared" si="21"/>
        <v>2.6315789473684212</v>
      </c>
      <c r="I52" s="34">
        <f t="shared" si="21"/>
        <v>1.927</v>
      </c>
      <c r="J52" s="34">
        <f t="shared" si="21"/>
        <v>0.5</v>
      </c>
      <c r="K52" s="34">
        <f t="shared" si="21"/>
        <v>0.14000000000000001</v>
      </c>
      <c r="L52" s="34">
        <f t="shared" si="21"/>
        <v>0.1</v>
      </c>
      <c r="M52" s="34">
        <f t="shared" si="21"/>
        <v>2.6670000000000003</v>
      </c>
      <c r="N52" s="34">
        <f t="shared" si="21"/>
        <v>0.25</v>
      </c>
      <c r="O52" s="33"/>
      <c r="P52" s="32">
        <f t="shared" si="15"/>
        <v>315789.47368421056</v>
      </c>
      <c r="Q52" s="32">
        <f t="shared" si="8"/>
        <v>42344.473684210607</v>
      </c>
      <c r="R52" s="32">
        <f t="shared" si="9"/>
        <v>3969.2982456140421</v>
      </c>
      <c r="S52" s="32">
        <f t="shared" si="10"/>
        <v>0</v>
      </c>
      <c r="T52" s="32">
        <f t="shared" si="11"/>
        <v>362103.24561403523</v>
      </c>
    </row>
    <row r="53" spans="1:23" x14ac:dyDescent="0.25">
      <c r="A53" s="30">
        <f t="shared" si="18"/>
        <v>42</v>
      </c>
      <c r="B53" s="42">
        <f t="shared" si="19"/>
        <v>52062</v>
      </c>
      <c r="C53" s="31">
        <f t="shared" si="1"/>
        <v>52246</v>
      </c>
      <c r="D53" s="30">
        <f t="shared" si="5"/>
        <v>184</v>
      </c>
      <c r="E53" s="44"/>
      <c r="F53" s="32">
        <f t="shared" si="16"/>
        <v>2842105.2631579004</v>
      </c>
      <c r="G53" s="33"/>
      <c r="H53" s="43">
        <f t="shared" si="21"/>
        <v>2.6315789473684212</v>
      </c>
      <c r="I53" s="34">
        <f t="shared" si="21"/>
        <v>1.927</v>
      </c>
      <c r="J53" s="34">
        <f t="shared" si="21"/>
        <v>0.5</v>
      </c>
      <c r="K53" s="34">
        <f t="shared" si="21"/>
        <v>0.14000000000000001</v>
      </c>
      <c r="L53" s="34">
        <f t="shared" si="21"/>
        <v>0.1</v>
      </c>
      <c r="M53" s="34">
        <f t="shared" si="21"/>
        <v>2.6670000000000003</v>
      </c>
      <c r="N53" s="34">
        <f t="shared" si="21"/>
        <v>0.25</v>
      </c>
      <c r="O53" s="33"/>
      <c r="P53" s="32">
        <f t="shared" si="15"/>
        <v>315789.47368421056</v>
      </c>
      <c r="Q53" s="32">
        <f t="shared" si="8"/>
        <v>38741.6842105264</v>
      </c>
      <c r="R53" s="32">
        <f t="shared" si="9"/>
        <v>3631.5789473684285</v>
      </c>
      <c r="S53" s="32">
        <f t="shared" si="10"/>
        <v>0</v>
      </c>
      <c r="T53" s="32">
        <f t="shared" si="11"/>
        <v>358162.7368421054</v>
      </c>
    </row>
    <row r="54" spans="1:23" x14ac:dyDescent="0.25">
      <c r="A54" s="30">
        <f t="shared" si="18"/>
        <v>43</v>
      </c>
      <c r="B54" s="42">
        <f t="shared" si="19"/>
        <v>52246</v>
      </c>
      <c r="C54" s="31">
        <f t="shared" si="1"/>
        <v>52427</v>
      </c>
      <c r="D54" s="30">
        <f t="shared" si="5"/>
        <v>181</v>
      </c>
      <c r="E54" s="44"/>
      <c r="F54" s="32">
        <f t="shared" si="16"/>
        <v>2526315.7894736901</v>
      </c>
      <c r="G54" s="33"/>
      <c r="H54" s="43">
        <f t="shared" si="21"/>
        <v>2.6315789473684212</v>
      </c>
      <c r="I54" s="34">
        <f t="shared" si="21"/>
        <v>1.927</v>
      </c>
      <c r="J54" s="34">
        <f t="shared" si="21"/>
        <v>0.5</v>
      </c>
      <c r="K54" s="34">
        <f t="shared" si="21"/>
        <v>0.14000000000000001</v>
      </c>
      <c r="L54" s="34">
        <f t="shared" si="21"/>
        <v>0.1</v>
      </c>
      <c r="M54" s="34">
        <f t="shared" si="21"/>
        <v>2.6670000000000003</v>
      </c>
      <c r="N54" s="34">
        <f t="shared" si="21"/>
        <v>0.25</v>
      </c>
      <c r="O54" s="33"/>
      <c r="P54" s="32">
        <f t="shared" si="15"/>
        <v>315789.47368421056</v>
      </c>
      <c r="Q54" s="32">
        <f t="shared" si="8"/>
        <v>33875.5789473685</v>
      </c>
      <c r="R54" s="32">
        <f t="shared" si="9"/>
        <v>3175.4385964912358</v>
      </c>
      <c r="S54" s="32">
        <f t="shared" si="10"/>
        <v>0</v>
      </c>
      <c r="T54" s="32">
        <f t="shared" si="11"/>
        <v>352840.49122807028</v>
      </c>
    </row>
    <row r="55" spans="1:23" x14ac:dyDescent="0.25">
      <c r="A55" s="30">
        <f t="shared" si="18"/>
        <v>44</v>
      </c>
      <c r="B55" s="42">
        <f t="shared" si="19"/>
        <v>52427</v>
      </c>
      <c r="C55" s="31">
        <f t="shared" si="1"/>
        <v>52611</v>
      </c>
      <c r="D55" s="30">
        <f t="shared" si="5"/>
        <v>184</v>
      </c>
      <c r="E55" s="44"/>
      <c r="F55" s="32">
        <f t="shared" si="16"/>
        <v>2210526.3157894798</v>
      </c>
      <c r="G55" s="33"/>
      <c r="H55" s="43">
        <f t="shared" si="21"/>
        <v>2.6315789473684212</v>
      </c>
      <c r="I55" s="34">
        <f t="shared" si="21"/>
        <v>1.927</v>
      </c>
      <c r="J55" s="34">
        <f t="shared" si="21"/>
        <v>0.5</v>
      </c>
      <c r="K55" s="34">
        <f t="shared" si="21"/>
        <v>0.14000000000000001</v>
      </c>
      <c r="L55" s="34">
        <f t="shared" si="21"/>
        <v>0.1</v>
      </c>
      <c r="M55" s="34">
        <f t="shared" si="21"/>
        <v>2.6670000000000003</v>
      </c>
      <c r="N55" s="34">
        <f t="shared" si="21"/>
        <v>0.25</v>
      </c>
      <c r="O55" s="33"/>
      <c r="P55" s="32">
        <f t="shared" si="15"/>
        <v>315789.47368421056</v>
      </c>
      <c r="Q55" s="32">
        <f t="shared" si="8"/>
        <v>30132.421052631667</v>
      </c>
      <c r="R55" s="32">
        <f t="shared" si="9"/>
        <v>2824.5614035087801</v>
      </c>
      <c r="S55" s="32">
        <f t="shared" si="10"/>
        <v>0</v>
      </c>
      <c r="T55" s="32">
        <f t="shared" si="11"/>
        <v>348746.45614035102</v>
      </c>
    </row>
    <row r="56" spans="1:23" x14ac:dyDescent="0.25">
      <c r="A56" s="30">
        <f t="shared" si="18"/>
        <v>45</v>
      </c>
      <c r="B56" s="42">
        <f t="shared" si="19"/>
        <v>52611</v>
      </c>
      <c r="C56" s="31">
        <f t="shared" si="1"/>
        <v>52793</v>
      </c>
      <c r="D56" s="30">
        <f t="shared" si="5"/>
        <v>182</v>
      </c>
      <c r="E56" s="44"/>
      <c r="F56" s="32">
        <f t="shared" si="16"/>
        <v>1894736.8421052692</v>
      </c>
      <c r="G56" s="33"/>
      <c r="H56" s="43">
        <f t="shared" si="21"/>
        <v>2.6315789473684212</v>
      </c>
      <c r="I56" s="34">
        <f t="shared" si="21"/>
        <v>1.927</v>
      </c>
      <c r="J56" s="34">
        <f t="shared" si="21"/>
        <v>0.5</v>
      </c>
      <c r="K56" s="34">
        <f t="shared" si="21"/>
        <v>0.14000000000000001</v>
      </c>
      <c r="L56" s="34">
        <f t="shared" si="21"/>
        <v>0.1</v>
      </c>
      <c r="M56" s="34">
        <f t="shared" si="21"/>
        <v>2.6670000000000003</v>
      </c>
      <c r="N56" s="34">
        <f t="shared" si="21"/>
        <v>0.25</v>
      </c>
      <c r="O56" s="33"/>
      <c r="P56" s="32">
        <f t="shared" si="15"/>
        <v>315789.47368421056</v>
      </c>
      <c r="Q56" s="32">
        <f t="shared" si="8"/>
        <v>25547.05263157903</v>
      </c>
      <c r="R56" s="32">
        <f t="shared" si="9"/>
        <v>2394.7368421052711</v>
      </c>
      <c r="S56" s="32">
        <f t="shared" si="10"/>
        <v>0</v>
      </c>
      <c r="T56" s="32">
        <f t="shared" si="11"/>
        <v>343731.26315789489</v>
      </c>
    </row>
    <row r="57" spans="1:23" x14ac:dyDescent="0.25">
      <c r="A57" s="30">
        <f t="shared" si="18"/>
        <v>46</v>
      </c>
      <c r="B57" s="42">
        <f t="shared" si="19"/>
        <v>52793</v>
      </c>
      <c r="C57" s="31">
        <f t="shared" si="1"/>
        <v>52977</v>
      </c>
      <c r="D57" s="30">
        <f t="shared" si="5"/>
        <v>184</v>
      </c>
      <c r="E57" s="44"/>
      <c r="F57" s="32">
        <f t="shared" si="16"/>
        <v>1578947.3684210586</v>
      </c>
      <c r="G57" s="33"/>
      <c r="H57" s="43">
        <f t="shared" si="21"/>
        <v>2.6315789473684212</v>
      </c>
      <c r="I57" s="34">
        <f t="shared" si="21"/>
        <v>1.927</v>
      </c>
      <c r="J57" s="34">
        <f t="shared" si="21"/>
        <v>0.5</v>
      </c>
      <c r="K57" s="34">
        <f t="shared" si="21"/>
        <v>0.14000000000000001</v>
      </c>
      <c r="L57" s="34">
        <f t="shared" si="21"/>
        <v>0.1</v>
      </c>
      <c r="M57" s="34">
        <f t="shared" si="21"/>
        <v>2.6670000000000003</v>
      </c>
      <c r="N57" s="34">
        <f t="shared" si="21"/>
        <v>0.25</v>
      </c>
      <c r="O57" s="33"/>
      <c r="P57" s="32">
        <f t="shared" si="15"/>
        <v>315789.47368421056</v>
      </c>
      <c r="Q57" s="32">
        <f t="shared" si="8"/>
        <v>21523.157894736927</v>
      </c>
      <c r="R57" s="32">
        <f t="shared" si="9"/>
        <v>2017.5438596491304</v>
      </c>
      <c r="S57" s="32">
        <f t="shared" si="10"/>
        <v>0</v>
      </c>
      <c r="T57" s="32">
        <f t="shared" si="11"/>
        <v>339330.17543859663</v>
      </c>
    </row>
    <row r="58" spans="1:23" x14ac:dyDescent="0.25">
      <c r="A58" s="30">
        <f t="shared" si="18"/>
        <v>47</v>
      </c>
      <c r="B58" s="42">
        <f t="shared" si="19"/>
        <v>52977</v>
      </c>
      <c r="C58" s="31">
        <f t="shared" si="1"/>
        <v>53158</v>
      </c>
      <c r="D58" s="30">
        <f t="shared" si="5"/>
        <v>181</v>
      </c>
      <c r="E58" s="44"/>
      <c r="F58" s="32">
        <f t="shared" si="16"/>
        <v>1263157.8947368481</v>
      </c>
      <c r="G58" s="33"/>
      <c r="H58" s="43">
        <f t="shared" ref="H58:N61" si="22">+H57</f>
        <v>2.6315789473684212</v>
      </c>
      <c r="I58" s="34">
        <f t="shared" si="22"/>
        <v>1.927</v>
      </c>
      <c r="J58" s="34">
        <f t="shared" si="22"/>
        <v>0.5</v>
      </c>
      <c r="K58" s="34">
        <f t="shared" si="22"/>
        <v>0.14000000000000001</v>
      </c>
      <c r="L58" s="34">
        <f t="shared" si="22"/>
        <v>0.1</v>
      </c>
      <c r="M58" s="34">
        <f t="shared" si="22"/>
        <v>2.6670000000000003</v>
      </c>
      <c r="N58" s="34">
        <f t="shared" si="22"/>
        <v>0.25</v>
      </c>
      <c r="O58" s="33"/>
      <c r="P58" s="32">
        <f t="shared" si="15"/>
        <v>315789.47368421056</v>
      </c>
      <c r="Q58" s="32">
        <f t="shared" si="8"/>
        <v>16937.789473684294</v>
      </c>
      <c r="R58" s="32">
        <f t="shared" si="9"/>
        <v>1587.7192982456218</v>
      </c>
      <c r="S58" s="32">
        <f t="shared" si="10"/>
        <v>0</v>
      </c>
      <c r="T58" s="32">
        <f t="shared" si="11"/>
        <v>334314.98245614045</v>
      </c>
    </row>
    <row r="59" spans="1:23" x14ac:dyDescent="0.25">
      <c r="A59" s="30">
        <f t="shared" si="18"/>
        <v>48</v>
      </c>
      <c r="B59" s="42">
        <f t="shared" si="19"/>
        <v>53158</v>
      </c>
      <c r="C59" s="31">
        <f t="shared" si="1"/>
        <v>53342</v>
      </c>
      <c r="D59" s="30">
        <f t="shared" si="5"/>
        <v>184</v>
      </c>
      <c r="E59" s="44"/>
      <c r="F59" s="32">
        <f t="shared" si="16"/>
        <v>947368.42105263751</v>
      </c>
      <c r="G59" s="33"/>
      <c r="H59" s="43">
        <f t="shared" si="22"/>
        <v>2.6315789473684212</v>
      </c>
      <c r="I59" s="34">
        <f t="shared" si="22"/>
        <v>1.927</v>
      </c>
      <c r="J59" s="34">
        <f t="shared" si="22"/>
        <v>0.5</v>
      </c>
      <c r="K59" s="34">
        <f t="shared" si="22"/>
        <v>0.14000000000000001</v>
      </c>
      <c r="L59" s="34">
        <f t="shared" si="22"/>
        <v>0.1</v>
      </c>
      <c r="M59" s="34">
        <f t="shared" si="22"/>
        <v>2.6670000000000003</v>
      </c>
      <c r="N59" s="34">
        <f t="shared" si="22"/>
        <v>0.25</v>
      </c>
      <c r="O59" s="33"/>
      <c r="P59" s="32">
        <f t="shared" si="15"/>
        <v>315789.47368421056</v>
      </c>
      <c r="Q59" s="32">
        <f t="shared" si="8"/>
        <v>12913.894736842187</v>
      </c>
      <c r="R59" s="32">
        <f t="shared" si="9"/>
        <v>1210.5263157894813</v>
      </c>
      <c r="S59" s="32">
        <f t="shared" si="10"/>
        <v>0</v>
      </c>
      <c r="T59" s="32">
        <f t="shared" si="11"/>
        <v>329913.89473684225</v>
      </c>
    </row>
    <row r="60" spans="1:23" x14ac:dyDescent="0.25">
      <c r="A60" s="30">
        <f t="shared" si="18"/>
        <v>49</v>
      </c>
      <c r="B60" s="42">
        <f t="shared" si="19"/>
        <v>53342</v>
      </c>
      <c r="C60" s="31">
        <f t="shared" si="1"/>
        <v>53523</v>
      </c>
      <c r="D60" s="30">
        <f t="shared" si="5"/>
        <v>181</v>
      </c>
      <c r="E60" s="44"/>
      <c r="F60" s="32">
        <f t="shared" si="16"/>
        <v>631578.94736842695</v>
      </c>
      <c r="G60" s="33"/>
      <c r="H60" s="43">
        <f t="shared" si="22"/>
        <v>2.6315789473684212</v>
      </c>
      <c r="I60" s="34">
        <f t="shared" si="22"/>
        <v>1.927</v>
      </c>
      <c r="J60" s="34">
        <f t="shared" si="22"/>
        <v>0.5</v>
      </c>
      <c r="K60" s="34">
        <f t="shared" si="22"/>
        <v>0.14000000000000001</v>
      </c>
      <c r="L60" s="34">
        <f t="shared" si="22"/>
        <v>0.1</v>
      </c>
      <c r="M60" s="34">
        <f t="shared" si="22"/>
        <v>2.6670000000000003</v>
      </c>
      <c r="N60" s="34">
        <f t="shared" si="22"/>
        <v>0.25</v>
      </c>
      <c r="O60" s="33"/>
      <c r="P60" s="32">
        <f t="shared" si="15"/>
        <v>315789.47368421056</v>
      </c>
      <c r="Q60" s="32">
        <f t="shared" si="8"/>
        <v>8468.8947368421868</v>
      </c>
      <c r="R60" s="32">
        <f t="shared" si="9"/>
        <v>793.85964912281452</v>
      </c>
      <c r="S60" s="32">
        <f t="shared" si="10"/>
        <v>0</v>
      </c>
      <c r="T60" s="32">
        <f t="shared" si="11"/>
        <v>325052.22807017557</v>
      </c>
    </row>
    <row r="61" spans="1:23" x14ac:dyDescent="0.25">
      <c r="A61" s="30">
        <f t="shared" si="18"/>
        <v>50</v>
      </c>
      <c r="B61" s="42">
        <f t="shared" si="19"/>
        <v>53523</v>
      </c>
      <c r="C61" s="31">
        <f t="shared" si="1"/>
        <v>53707</v>
      </c>
      <c r="D61" s="30">
        <f t="shared" si="5"/>
        <v>184</v>
      </c>
      <c r="E61" s="44"/>
      <c r="F61" s="32">
        <f t="shared" si="16"/>
        <v>315789.47368421638</v>
      </c>
      <c r="G61" s="33"/>
      <c r="H61" s="43">
        <f t="shared" si="22"/>
        <v>2.6315789473684212</v>
      </c>
      <c r="I61" s="34">
        <f t="shared" si="22"/>
        <v>1.927</v>
      </c>
      <c r="J61" s="34">
        <f t="shared" si="22"/>
        <v>0.5</v>
      </c>
      <c r="K61" s="34">
        <f t="shared" si="22"/>
        <v>0.14000000000000001</v>
      </c>
      <c r="L61" s="34">
        <f t="shared" si="22"/>
        <v>0.1</v>
      </c>
      <c r="M61" s="34">
        <f t="shared" si="22"/>
        <v>2.6670000000000003</v>
      </c>
      <c r="N61" s="34">
        <f t="shared" si="22"/>
        <v>0.25</v>
      </c>
      <c r="O61" s="33"/>
      <c r="P61" s="32">
        <f t="shared" si="15"/>
        <v>315789.47368421056</v>
      </c>
      <c r="Q61" s="32">
        <f t="shared" si="8"/>
        <v>4304.6315789474484</v>
      </c>
      <c r="R61" s="32">
        <f t="shared" si="9"/>
        <v>403.50877192983211</v>
      </c>
      <c r="S61" s="32">
        <f t="shared" si="10"/>
        <v>0</v>
      </c>
      <c r="T61" s="32">
        <f t="shared" si="11"/>
        <v>320497.61403508787</v>
      </c>
    </row>
    <row r="62" spans="1:23" x14ac:dyDescent="0.25">
      <c r="A62" s="45" t="s">
        <v>68</v>
      </c>
      <c r="B62" s="46"/>
      <c r="C62" s="46"/>
      <c r="D62" s="47"/>
      <c r="E62" s="48">
        <f>SUM(E11:E59)</f>
        <v>12000000</v>
      </c>
      <c r="F62" s="47"/>
      <c r="G62" s="46"/>
      <c r="H62" s="49">
        <f>SUM(H24:H59)</f>
        <v>94.73684210526325</v>
      </c>
      <c r="I62" s="47"/>
      <c r="J62" s="50"/>
      <c r="K62" s="50"/>
      <c r="L62" s="50"/>
      <c r="M62" s="50"/>
      <c r="N62" s="50"/>
      <c r="O62" s="46"/>
      <c r="P62" s="48">
        <f>SUM(P11:P61)</f>
        <v>11999999.999999994</v>
      </c>
      <c r="Q62" s="48">
        <f t="shared" ref="Q62:S62" si="23">SUM(Q11:Q61)</f>
        <v>4643420.1210526349</v>
      </c>
      <c r="R62" s="48">
        <f t="shared" si="23"/>
        <v>435266.22807017574</v>
      </c>
      <c r="S62" s="48">
        <f t="shared" si="23"/>
        <v>26435</v>
      </c>
      <c r="T62" s="48">
        <f>SUM(T11:T61)</f>
        <v>17105121.349122811</v>
      </c>
      <c r="U62" s="16">
        <v>13865347.760350876</v>
      </c>
    </row>
    <row r="63" spans="1:23" ht="8.25" customHeight="1" x14ac:dyDescent="0.25"/>
    <row r="64" spans="1:23" x14ac:dyDescent="0.25">
      <c r="B64" s="16" t="s">
        <v>166</v>
      </c>
      <c r="U64" s="91">
        <f>+T62-U62</f>
        <v>3239773.5887719356</v>
      </c>
      <c r="W64" s="21">
        <f>+R62+S62</f>
        <v>461701.22807017574</v>
      </c>
    </row>
    <row r="65" spans="2:21" ht="18.75" x14ac:dyDescent="0.25">
      <c r="B65" s="75" t="s">
        <v>167</v>
      </c>
      <c r="C65" s="76"/>
      <c r="D65" s="76"/>
      <c r="E65" s="77"/>
      <c r="F65" s="78"/>
      <c r="G65" s="78"/>
      <c r="H65" s="75"/>
      <c r="I65" s="76"/>
      <c r="J65" s="76"/>
      <c r="K65" s="76"/>
      <c r="L65" s="76"/>
      <c r="M65" s="76"/>
      <c r="N65" s="79"/>
      <c r="O65" s="76"/>
      <c r="P65" s="79"/>
      <c r="Q65" s="79"/>
      <c r="R65" s="79"/>
      <c r="U65" s="91">
        <f>+T62-P62-Q62-R62-S62</f>
        <v>6.0535967350006104E-9</v>
      </c>
    </row>
    <row r="66" spans="2:21" ht="18.75" x14ac:dyDescent="0.25">
      <c r="B66" s="197" t="s">
        <v>168</v>
      </c>
      <c r="C66" s="197"/>
      <c r="D66" s="197"/>
      <c r="E66" s="197"/>
      <c r="F66" s="197"/>
      <c r="G66" s="197"/>
      <c r="H66" s="197"/>
      <c r="I66" s="197"/>
      <c r="J66" s="197"/>
      <c r="K66" s="197"/>
      <c r="L66" s="197"/>
      <c r="M66" s="197"/>
      <c r="N66" s="197"/>
      <c r="O66" s="197"/>
      <c r="P66" s="197"/>
      <c r="Q66" s="137"/>
      <c r="R66" s="137"/>
    </row>
    <row r="67" spans="2:21" ht="18.75" x14ac:dyDescent="0.25">
      <c r="B67" s="75" t="s">
        <v>169</v>
      </c>
      <c r="C67" s="76"/>
      <c r="D67" s="76"/>
      <c r="E67" s="77"/>
      <c r="F67" s="78"/>
      <c r="G67" s="78"/>
      <c r="H67" s="75"/>
      <c r="I67" s="80"/>
      <c r="J67" s="76"/>
      <c r="K67" s="76"/>
      <c r="L67" s="76"/>
      <c r="M67" s="76"/>
      <c r="N67" s="79"/>
      <c r="O67" s="76"/>
      <c r="P67" s="79"/>
      <c r="Q67" s="79"/>
      <c r="R67" s="79"/>
    </row>
    <row r="68" spans="2:21" ht="18.75" x14ac:dyDescent="0.25">
      <c r="B68" s="75" t="s">
        <v>170</v>
      </c>
      <c r="C68" s="76"/>
      <c r="D68" s="81"/>
      <c r="E68" s="77"/>
      <c r="F68" s="78"/>
      <c r="G68" s="78"/>
      <c r="H68" s="75"/>
      <c r="I68" s="76"/>
      <c r="J68" s="76"/>
      <c r="K68" s="76"/>
      <c r="L68" s="76"/>
      <c r="M68" s="76"/>
      <c r="N68" s="79"/>
      <c r="O68" s="76"/>
      <c r="P68" s="79"/>
      <c r="Q68" s="79"/>
      <c r="R68" s="79"/>
    </row>
    <row r="69" spans="2:21" ht="18.75" x14ac:dyDescent="0.25">
      <c r="B69" s="75" t="s">
        <v>174</v>
      </c>
      <c r="C69" s="76"/>
      <c r="D69" s="76"/>
      <c r="E69" s="77"/>
      <c r="F69" s="78"/>
      <c r="G69" s="78"/>
      <c r="H69" s="82"/>
      <c r="I69" s="76"/>
      <c r="J69" s="76"/>
      <c r="K69" s="76"/>
      <c r="L69" s="76"/>
      <c r="M69" s="76"/>
      <c r="N69" s="79"/>
      <c r="O69" s="76"/>
      <c r="P69" s="79"/>
      <c r="Q69" s="79"/>
      <c r="R69" s="79"/>
    </row>
    <row r="70" spans="2:21" ht="18.75" x14ac:dyDescent="0.25">
      <c r="B70" s="75"/>
    </row>
    <row r="73" spans="2:21" x14ac:dyDescent="0.25">
      <c r="T73" s="21">
        <f>+'PL 03 - ADB tha noi In'!T62</f>
        <v>13960352.844600152</v>
      </c>
    </row>
    <row r="74" spans="2:21" x14ac:dyDescent="0.25">
      <c r="S74" s="21"/>
      <c r="T74" s="21">
        <f>+T62-T73</f>
        <v>3144768.5045226589</v>
      </c>
    </row>
    <row r="75" spans="2:21" x14ac:dyDescent="0.25">
      <c r="P75" s="84"/>
      <c r="Q75" s="84"/>
      <c r="R75" s="84"/>
      <c r="S75" s="85"/>
    </row>
  </sheetData>
  <mergeCells count="5">
    <mergeCell ref="A3:T3"/>
    <mergeCell ref="A4:T4"/>
    <mergeCell ref="A5:T5"/>
    <mergeCell ref="A6:T6"/>
    <mergeCell ref="B66:P66"/>
  </mergeCells>
  <printOptions horizontalCentered="1"/>
  <pageMargins left="0.47244094488188981" right="0.47244094488188981" top="0.78740157480314965" bottom="0.59055118110236227" header="0.31496062992125984" footer="0.31496062992125984"/>
  <pageSetup paperSize="9" scale="64" fitToHeight="100"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B18" sqref="B18:G19"/>
    </sheetView>
  </sheetViews>
  <sheetFormatPr defaultColWidth="9.140625" defaultRowHeight="14.25" x14ac:dyDescent="0.2"/>
  <cols>
    <col min="1" max="1" width="73.140625" style="56" bestFit="1" customWidth="1"/>
    <col min="2" max="2" width="20" style="56" bestFit="1" customWidth="1"/>
    <col min="3" max="16384" width="9.140625" style="56"/>
  </cols>
  <sheetData>
    <row r="1" spans="1:7" ht="43.5" x14ac:dyDescent="0.2">
      <c r="A1" s="55" t="s">
        <v>126</v>
      </c>
    </row>
    <row r="2" spans="1:7" ht="33" x14ac:dyDescent="0.2">
      <c r="A2" s="51" t="s">
        <v>104</v>
      </c>
      <c r="B2" s="201" t="s">
        <v>112</v>
      </c>
      <c r="C2" s="201"/>
      <c r="D2" s="201"/>
      <c r="E2" s="201"/>
      <c r="F2" s="201"/>
      <c r="G2" s="201"/>
    </row>
    <row r="3" spans="1:7" ht="33" x14ac:dyDescent="0.2">
      <c r="A3" s="52" t="s">
        <v>105</v>
      </c>
      <c r="B3" s="202"/>
      <c r="C3" s="202"/>
      <c r="D3" s="202"/>
      <c r="E3" s="202"/>
      <c r="F3" s="202"/>
      <c r="G3" s="202"/>
    </row>
    <row r="4" spans="1:7" ht="33" x14ac:dyDescent="0.2">
      <c r="A4" s="53" t="s">
        <v>106</v>
      </c>
      <c r="B4" s="202">
        <v>50</v>
      </c>
      <c r="C4" s="202"/>
      <c r="D4" s="202"/>
      <c r="E4" s="202"/>
      <c r="F4" s="202"/>
      <c r="G4" s="202"/>
    </row>
    <row r="5" spans="1:7" ht="16.5" x14ac:dyDescent="0.2">
      <c r="A5" s="203" t="s">
        <v>107</v>
      </c>
      <c r="B5" s="202" t="s">
        <v>86</v>
      </c>
      <c r="C5" s="202"/>
      <c r="D5" s="202"/>
      <c r="E5" s="202"/>
      <c r="F5" s="202"/>
      <c r="G5" s="202"/>
    </row>
    <row r="6" spans="1:7" ht="16.5" customHeight="1" x14ac:dyDescent="0.2">
      <c r="A6" s="203"/>
      <c r="B6" s="202" t="s">
        <v>87</v>
      </c>
      <c r="C6" s="202"/>
      <c r="D6" s="202"/>
      <c r="E6" s="202"/>
      <c r="F6" s="202"/>
      <c r="G6" s="202"/>
    </row>
    <row r="7" spans="1:7" ht="16.5" customHeight="1" x14ac:dyDescent="0.2">
      <c r="A7" s="203"/>
      <c r="B7" s="202" t="s">
        <v>88</v>
      </c>
      <c r="C7" s="202"/>
      <c r="D7" s="202"/>
      <c r="E7" s="202"/>
      <c r="F7" s="202"/>
      <c r="G7" s="202"/>
    </row>
    <row r="8" spans="1:7" ht="16.5" x14ac:dyDescent="0.2">
      <c r="A8" s="203"/>
      <c r="B8" s="202" t="s">
        <v>89</v>
      </c>
      <c r="C8" s="202"/>
      <c r="D8" s="202"/>
      <c r="E8" s="202"/>
      <c r="F8" s="202"/>
      <c r="G8" s="202"/>
    </row>
    <row r="9" spans="1:7" ht="43.5" x14ac:dyDescent="0.2">
      <c r="A9" s="203" t="s">
        <v>108</v>
      </c>
      <c r="B9" s="57" t="s">
        <v>127</v>
      </c>
      <c r="C9" s="57" t="s">
        <v>90</v>
      </c>
      <c r="D9" s="57" t="s">
        <v>91</v>
      </c>
      <c r="E9" s="57" t="s">
        <v>92</v>
      </c>
      <c r="F9" s="57" t="s">
        <v>93</v>
      </c>
      <c r="G9" s="57" t="s">
        <v>94</v>
      </c>
    </row>
    <row r="10" spans="1:7" x14ac:dyDescent="0.2">
      <c r="A10" s="203"/>
      <c r="B10" s="58" t="s">
        <v>95</v>
      </c>
      <c r="C10" s="58">
        <v>0</v>
      </c>
      <c r="D10" s="58">
        <v>0</v>
      </c>
      <c r="E10" s="58">
        <v>0</v>
      </c>
      <c r="F10" s="58">
        <v>0</v>
      </c>
      <c r="G10" s="58">
        <v>0</v>
      </c>
    </row>
    <row r="11" spans="1:7" ht="28.5" x14ac:dyDescent="0.2">
      <c r="A11" s="203"/>
      <c r="B11" s="58" t="s">
        <v>96</v>
      </c>
      <c r="C11" s="58">
        <v>0</v>
      </c>
      <c r="D11" s="58">
        <v>0</v>
      </c>
      <c r="E11" s="58">
        <v>10</v>
      </c>
      <c r="F11" s="58">
        <v>20</v>
      </c>
      <c r="G11" s="58">
        <v>40</v>
      </c>
    </row>
    <row r="12" spans="1:7" ht="28.5" x14ac:dyDescent="0.2">
      <c r="A12" s="203"/>
      <c r="B12" s="58" t="s">
        <v>97</v>
      </c>
      <c r="C12" s="58">
        <v>0</v>
      </c>
      <c r="D12" s="58">
        <v>10</v>
      </c>
      <c r="E12" s="58">
        <v>20</v>
      </c>
      <c r="F12" s="58">
        <v>30</v>
      </c>
      <c r="G12" s="58">
        <v>50</v>
      </c>
    </row>
    <row r="13" spans="1:7" ht="28.5" x14ac:dyDescent="0.2">
      <c r="A13" s="203"/>
      <c r="B13" s="58" t="s">
        <v>98</v>
      </c>
      <c r="C13" s="58">
        <v>0</v>
      </c>
      <c r="D13" s="58">
        <v>20</v>
      </c>
      <c r="E13" s="58">
        <v>30</v>
      </c>
      <c r="F13" s="58">
        <v>50</v>
      </c>
      <c r="G13" s="58">
        <v>75</v>
      </c>
    </row>
    <row r="14" spans="1:7" ht="16.5" x14ac:dyDescent="0.2">
      <c r="A14" s="203" t="s">
        <v>109</v>
      </c>
      <c r="B14" s="202" t="s">
        <v>99</v>
      </c>
      <c r="C14" s="202"/>
      <c r="D14" s="202"/>
      <c r="E14" s="202"/>
      <c r="F14" s="202"/>
      <c r="G14" s="202"/>
    </row>
    <row r="15" spans="1:7" ht="16.5" customHeight="1" x14ac:dyDescent="0.2">
      <c r="A15" s="203"/>
      <c r="B15" s="202" t="s">
        <v>100</v>
      </c>
      <c r="C15" s="202"/>
      <c r="D15" s="202"/>
      <c r="E15" s="202"/>
      <c r="F15" s="202"/>
      <c r="G15" s="202"/>
    </row>
    <row r="16" spans="1:7" ht="16.5" customHeight="1" x14ac:dyDescent="0.2">
      <c r="A16" s="203"/>
      <c r="B16" s="202" t="s">
        <v>101</v>
      </c>
      <c r="C16" s="202"/>
      <c r="D16" s="202"/>
      <c r="E16" s="202"/>
      <c r="F16" s="202"/>
      <c r="G16" s="202"/>
    </row>
    <row r="17" spans="1:7" ht="16.5" customHeight="1" x14ac:dyDescent="0.2">
      <c r="A17" s="203"/>
      <c r="B17" s="202" t="s">
        <v>102</v>
      </c>
      <c r="C17" s="202"/>
      <c r="D17" s="202"/>
      <c r="E17" s="202"/>
      <c r="F17" s="202"/>
      <c r="G17" s="202"/>
    </row>
    <row r="18" spans="1:7" ht="33" x14ac:dyDescent="0.2">
      <c r="A18" s="52" t="s">
        <v>110</v>
      </c>
      <c r="B18" s="202">
        <v>15</v>
      </c>
      <c r="C18" s="202"/>
      <c r="D18" s="202"/>
      <c r="E18" s="202"/>
      <c r="F18" s="202"/>
      <c r="G18" s="202"/>
    </row>
    <row r="19" spans="1:7" ht="33" x14ac:dyDescent="0.2">
      <c r="A19" s="53" t="s">
        <v>111</v>
      </c>
      <c r="B19" s="202"/>
      <c r="C19" s="202"/>
      <c r="D19" s="202"/>
      <c r="E19" s="202"/>
      <c r="F19" s="202"/>
      <c r="G19" s="202"/>
    </row>
    <row r="21" spans="1:7" ht="71.25" x14ac:dyDescent="0.2">
      <c r="A21" s="61" t="s">
        <v>141</v>
      </c>
    </row>
    <row r="22" spans="1:7" ht="142.5" x14ac:dyDescent="0.2">
      <c r="A22" s="62" t="s">
        <v>142</v>
      </c>
      <c r="B22" s="62"/>
      <c r="C22" s="62"/>
      <c r="D22" s="62"/>
      <c r="E22" s="62"/>
      <c r="F22" s="62"/>
      <c r="G22" s="62"/>
    </row>
    <row r="23" spans="1:7" ht="56.25" customHeight="1" x14ac:dyDescent="0.2">
      <c r="A23" s="204" t="s">
        <v>140</v>
      </c>
      <c r="B23" s="204"/>
      <c r="C23" s="204"/>
      <c r="D23" s="204"/>
      <c r="E23" s="204"/>
      <c r="F23" s="204"/>
      <c r="G23" s="204"/>
    </row>
    <row r="26" spans="1:7" x14ac:dyDescent="0.2">
      <c r="A26" s="59" t="s">
        <v>103</v>
      </c>
    </row>
  </sheetData>
  <mergeCells count="16">
    <mergeCell ref="A23:G23"/>
    <mergeCell ref="B18:G19"/>
    <mergeCell ref="A9:A13"/>
    <mergeCell ref="A14:A17"/>
    <mergeCell ref="B14:G14"/>
    <mergeCell ref="B15:G15"/>
    <mergeCell ref="B16:G16"/>
    <mergeCell ref="B17:G17"/>
    <mergeCell ref="B2:G2"/>
    <mergeCell ref="B3:G3"/>
    <mergeCell ref="B4:G4"/>
    <mergeCell ref="A5:A8"/>
    <mergeCell ref="B5:G5"/>
    <mergeCell ref="B6:G6"/>
    <mergeCell ref="B7:G7"/>
    <mergeCell ref="B8:G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16" sqref="B16"/>
    </sheetView>
  </sheetViews>
  <sheetFormatPr defaultColWidth="9.140625" defaultRowHeight="14.25" x14ac:dyDescent="0.2"/>
  <cols>
    <col min="1" max="1" width="73.140625" style="56" bestFit="1" customWidth="1"/>
    <col min="2" max="2" width="20" style="56" bestFit="1" customWidth="1"/>
    <col min="3" max="3" width="9.140625" style="56"/>
    <col min="4" max="4" width="36.140625" style="56" bestFit="1" customWidth="1"/>
    <col min="5" max="5" width="49.42578125" style="56" customWidth="1"/>
    <col min="6" max="16384" width="9.140625" style="56"/>
  </cols>
  <sheetData>
    <row r="1" spans="1:5" ht="28.5" x14ac:dyDescent="0.2">
      <c r="A1" s="61" t="s">
        <v>128</v>
      </c>
    </row>
    <row r="3" spans="1:5" ht="33" x14ac:dyDescent="0.2">
      <c r="A3" s="52" t="s">
        <v>136</v>
      </c>
      <c r="B3" s="52" t="s">
        <v>133</v>
      </c>
      <c r="C3" s="52" t="s">
        <v>134</v>
      </c>
      <c r="D3" s="52" t="s">
        <v>135</v>
      </c>
      <c r="E3" s="60"/>
    </row>
    <row r="4" spans="1:5" ht="33" x14ac:dyDescent="0.2">
      <c r="A4" s="203" t="s">
        <v>129</v>
      </c>
      <c r="B4" s="203" t="s">
        <v>113</v>
      </c>
      <c r="C4" s="203" t="s">
        <v>114</v>
      </c>
      <c r="D4" s="53" t="s">
        <v>137</v>
      </c>
      <c r="E4" s="203" t="s">
        <v>139</v>
      </c>
    </row>
    <row r="5" spans="1:5" ht="33" x14ac:dyDescent="0.2">
      <c r="A5" s="203"/>
      <c r="B5" s="203"/>
      <c r="C5" s="203"/>
      <c r="D5" s="53" t="s">
        <v>138</v>
      </c>
      <c r="E5" s="203"/>
    </row>
    <row r="6" spans="1:5" ht="16.5" x14ac:dyDescent="0.2">
      <c r="A6" s="203" t="s">
        <v>130</v>
      </c>
      <c r="B6" s="203" t="s">
        <v>118</v>
      </c>
      <c r="C6" s="203" t="s">
        <v>114</v>
      </c>
      <c r="D6" s="53" t="s">
        <v>115</v>
      </c>
      <c r="E6" s="203" t="s">
        <v>117</v>
      </c>
    </row>
    <row r="7" spans="1:5" ht="16.5" x14ac:dyDescent="0.2">
      <c r="A7" s="203"/>
      <c r="B7" s="203"/>
      <c r="C7" s="203"/>
      <c r="D7" s="53" t="s">
        <v>116</v>
      </c>
      <c r="E7" s="203"/>
    </row>
    <row r="8" spans="1:5" ht="33" x14ac:dyDescent="0.2">
      <c r="A8" s="53" t="s">
        <v>131</v>
      </c>
      <c r="B8" s="53" t="s">
        <v>119</v>
      </c>
      <c r="C8" s="53" t="s">
        <v>120</v>
      </c>
      <c r="D8" s="53" t="s">
        <v>121</v>
      </c>
      <c r="E8" s="53" t="s">
        <v>117</v>
      </c>
    </row>
    <row r="9" spans="1:5" ht="49.5" x14ac:dyDescent="0.2">
      <c r="A9" s="53" t="s">
        <v>132</v>
      </c>
      <c r="B9" s="53" t="s">
        <v>122</v>
      </c>
      <c r="C9" s="53" t="s">
        <v>123</v>
      </c>
      <c r="D9" s="53" t="s">
        <v>124</v>
      </c>
      <c r="E9" s="53" t="s">
        <v>125</v>
      </c>
    </row>
    <row r="11" spans="1:5" x14ac:dyDescent="0.2">
      <c r="A11" s="59" t="s">
        <v>103</v>
      </c>
    </row>
    <row r="15" spans="1:5" x14ac:dyDescent="0.2">
      <c r="D15" s="56" t="s">
        <v>143</v>
      </c>
      <c r="E15" s="56" t="s">
        <v>144</v>
      </c>
    </row>
    <row r="16" spans="1:5" x14ac:dyDescent="0.2">
      <c r="B16" s="63">
        <v>44652</v>
      </c>
    </row>
  </sheetData>
  <mergeCells count="8">
    <mergeCell ref="A4:A5"/>
    <mergeCell ref="B4:B5"/>
    <mergeCell ref="C4:C5"/>
    <mergeCell ref="E4:E5"/>
    <mergeCell ref="A6:A7"/>
    <mergeCell ref="B6:B7"/>
    <mergeCell ref="C6:C7"/>
    <mergeCell ref="E6:E7"/>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7"/>
  <sheetViews>
    <sheetView workbookViewId="0">
      <selection activeCell="C15" sqref="C15"/>
    </sheetView>
  </sheetViews>
  <sheetFormatPr defaultColWidth="9.140625" defaultRowHeight="12.75" x14ac:dyDescent="0.2"/>
  <cols>
    <col min="1" max="1" width="9.140625" style="54"/>
    <col min="2" max="2" width="58.7109375" style="54" customWidth="1"/>
    <col min="3" max="3" width="17.28515625" style="54" customWidth="1"/>
    <col min="4" max="4" width="13.140625" style="54" customWidth="1"/>
    <col min="5" max="5" width="12.85546875" style="54" customWidth="1"/>
    <col min="6" max="6" width="12.5703125" style="54" customWidth="1"/>
    <col min="7" max="7" width="13.140625" style="54" customWidth="1"/>
    <col min="8" max="8" width="15" style="54" customWidth="1"/>
    <col min="9" max="16384" width="9.140625" style="54"/>
  </cols>
  <sheetData>
    <row r="3" spans="2:8" ht="23.25" customHeight="1" x14ac:dyDescent="0.2">
      <c r="B3" s="69" t="s">
        <v>160</v>
      </c>
      <c r="H3" s="54" t="s">
        <v>161</v>
      </c>
    </row>
    <row r="4" spans="2:8" ht="63.75" x14ac:dyDescent="0.2">
      <c r="B4" s="64" t="s">
        <v>145</v>
      </c>
      <c r="C4" s="65" t="s">
        <v>146</v>
      </c>
      <c r="D4" s="66" t="s">
        <v>147</v>
      </c>
      <c r="E4" s="65" t="s">
        <v>148</v>
      </c>
      <c r="F4" s="65" t="s">
        <v>149</v>
      </c>
      <c r="G4" s="65" t="s">
        <v>150</v>
      </c>
      <c r="H4" s="65" t="s">
        <v>151</v>
      </c>
    </row>
    <row r="5" spans="2:8" x14ac:dyDescent="0.2">
      <c r="B5" s="64"/>
      <c r="C5" s="68" t="s">
        <v>154</v>
      </c>
      <c r="D5" s="68" t="s">
        <v>155</v>
      </c>
      <c r="E5" s="68" t="s">
        <v>156</v>
      </c>
      <c r="F5" s="68" t="s">
        <v>157</v>
      </c>
      <c r="G5" s="68" t="s">
        <v>158</v>
      </c>
      <c r="H5" s="68" t="s">
        <v>159</v>
      </c>
    </row>
    <row r="6" spans="2:8" ht="20.100000000000001" customHeight="1" x14ac:dyDescent="0.2">
      <c r="B6" s="66" t="s">
        <v>152</v>
      </c>
      <c r="C6" s="70">
        <v>6.6199999999999995E-2</v>
      </c>
      <c r="D6" s="64">
        <v>0.5</v>
      </c>
      <c r="E6" s="64">
        <v>0.14000000000000001</v>
      </c>
      <c r="F6" s="65">
        <v>0.1</v>
      </c>
      <c r="G6" s="72">
        <f>SUM(C6:F6)</f>
        <v>0.80620000000000003</v>
      </c>
      <c r="H6" s="67">
        <v>0.15</v>
      </c>
    </row>
    <row r="7" spans="2:8" ht="20.100000000000001" customHeight="1" x14ac:dyDescent="0.2">
      <c r="B7" s="66" t="s">
        <v>153</v>
      </c>
      <c r="C7" s="71">
        <v>1.927</v>
      </c>
      <c r="D7" s="64">
        <v>0.5</v>
      </c>
      <c r="E7" s="64">
        <v>0.14000000000000001</v>
      </c>
      <c r="F7" s="65">
        <v>0.1</v>
      </c>
      <c r="G7" s="72">
        <f>SUM(C7:F7)</f>
        <v>2.6670000000000003</v>
      </c>
      <c r="H7" s="67">
        <v>0.15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D21" sqref="D21"/>
    </sheetView>
  </sheetViews>
  <sheetFormatPr defaultColWidth="9.140625" defaultRowHeight="15.75" x14ac:dyDescent="0.2"/>
  <cols>
    <col min="1" max="1" width="5.7109375" style="4"/>
    <col min="2" max="2" width="43.42578125" style="4"/>
    <col min="3" max="3" width="24.140625" style="4"/>
    <col min="4" max="4" width="13.7109375" style="4"/>
    <col min="5" max="7" width="10.28515625" style="4"/>
    <col min="8" max="8" width="24" style="4" customWidth="1"/>
    <col min="9" max="16384" width="9.140625" style="4"/>
  </cols>
  <sheetData>
    <row r="1" spans="1:8" x14ac:dyDescent="0.2">
      <c r="A1" s="3" t="s">
        <v>0</v>
      </c>
    </row>
    <row r="2" spans="1:8" x14ac:dyDescent="0.2">
      <c r="A2" s="170" t="s">
        <v>32</v>
      </c>
      <c r="B2" s="170"/>
      <c r="C2" s="170"/>
      <c r="D2" s="170"/>
      <c r="E2" s="170"/>
      <c r="F2" s="170"/>
      <c r="G2" s="170"/>
      <c r="H2" s="170"/>
    </row>
    <row r="3" spans="1:8" x14ac:dyDescent="0.2">
      <c r="A3" s="172" t="s">
        <v>35</v>
      </c>
      <c r="B3" s="173"/>
      <c r="C3" s="173"/>
      <c r="D3" s="173"/>
      <c r="E3" s="173"/>
      <c r="F3" s="173"/>
      <c r="G3" s="173"/>
      <c r="H3" s="173"/>
    </row>
    <row r="4" spans="1:8" x14ac:dyDescent="0.2">
      <c r="A4" s="171" t="s">
        <v>33</v>
      </c>
      <c r="B4" s="171"/>
      <c r="C4" s="171"/>
      <c r="D4" s="171"/>
      <c r="E4" s="171"/>
      <c r="F4" s="171"/>
      <c r="G4" s="171"/>
      <c r="H4" s="171"/>
    </row>
    <row r="5" spans="1:8" x14ac:dyDescent="0.2">
      <c r="H5" s="5" t="s">
        <v>1</v>
      </c>
    </row>
    <row r="6" spans="1:8" x14ac:dyDescent="0.2">
      <c r="A6" s="169" t="s">
        <v>2</v>
      </c>
      <c r="B6" s="169" t="s">
        <v>3</v>
      </c>
      <c r="C6" s="174" t="s">
        <v>34</v>
      </c>
      <c r="D6" s="175" t="s">
        <v>4</v>
      </c>
      <c r="E6" s="169" t="s">
        <v>5</v>
      </c>
      <c r="F6" s="169"/>
      <c r="G6" s="169"/>
      <c r="H6" s="167" t="s">
        <v>36</v>
      </c>
    </row>
    <row r="7" spans="1:8" x14ac:dyDescent="0.2">
      <c r="A7" s="169"/>
      <c r="B7" s="169"/>
      <c r="C7" s="175"/>
      <c r="D7" s="175"/>
      <c r="E7" s="6" t="s">
        <v>6</v>
      </c>
      <c r="F7" s="6" t="s">
        <v>7</v>
      </c>
      <c r="G7" s="6" t="s">
        <v>8</v>
      </c>
      <c r="H7" s="168"/>
    </row>
    <row r="8" spans="1:8" x14ac:dyDescent="0.2">
      <c r="A8" s="6" t="s">
        <v>9</v>
      </c>
      <c r="B8" s="6" t="s">
        <v>10</v>
      </c>
      <c r="C8" s="6" t="s">
        <v>11</v>
      </c>
      <c r="D8" s="6" t="s">
        <v>12</v>
      </c>
      <c r="E8" s="6" t="s">
        <v>13</v>
      </c>
      <c r="F8" s="6" t="s">
        <v>14</v>
      </c>
      <c r="G8" s="6" t="s">
        <v>15</v>
      </c>
      <c r="H8" s="6" t="s">
        <v>16</v>
      </c>
    </row>
    <row r="9" spans="1:8" x14ac:dyDescent="0.2">
      <c r="A9" s="2"/>
      <c r="B9" s="6" t="s">
        <v>17</v>
      </c>
      <c r="C9" s="7"/>
      <c r="D9" s="7"/>
      <c r="E9" s="7"/>
      <c r="F9" s="7"/>
      <c r="G9" s="7"/>
      <c r="H9" s="7"/>
    </row>
    <row r="10" spans="1:8" x14ac:dyDescent="0.2">
      <c r="A10" s="6" t="s">
        <v>18</v>
      </c>
      <c r="B10" s="2" t="s">
        <v>19</v>
      </c>
      <c r="C10" s="7"/>
      <c r="D10" s="2"/>
      <c r="E10" s="2"/>
      <c r="F10" s="2"/>
      <c r="G10" s="7"/>
      <c r="H10" s="7"/>
    </row>
    <row r="11" spans="1:8" x14ac:dyDescent="0.2">
      <c r="A11" s="6" t="s">
        <v>20</v>
      </c>
      <c r="B11" s="2" t="s">
        <v>21</v>
      </c>
      <c r="C11" s="7"/>
      <c r="D11" s="7"/>
      <c r="E11" s="7"/>
      <c r="F11" s="7"/>
      <c r="G11" s="7"/>
      <c r="H11" s="7"/>
    </row>
    <row r="12" spans="1:8" x14ac:dyDescent="0.2">
      <c r="A12" s="6" t="s">
        <v>22</v>
      </c>
      <c r="B12" s="2" t="s">
        <v>23</v>
      </c>
      <c r="C12" s="7"/>
      <c r="D12" s="2"/>
      <c r="E12" s="2"/>
      <c r="F12" s="2"/>
      <c r="G12" s="7"/>
      <c r="H12" s="7"/>
    </row>
    <row r="13" spans="1:8" x14ac:dyDescent="0.2">
      <c r="A13" s="6" t="s">
        <v>24</v>
      </c>
      <c r="B13" s="2" t="s">
        <v>25</v>
      </c>
      <c r="C13" s="7"/>
      <c r="D13" s="2"/>
      <c r="E13" s="2"/>
      <c r="F13" s="2"/>
      <c r="G13" s="2"/>
      <c r="H13" s="7"/>
    </row>
    <row r="14" spans="1:8" x14ac:dyDescent="0.2">
      <c r="A14" s="6" t="s">
        <v>26</v>
      </c>
      <c r="B14" s="2" t="s">
        <v>27</v>
      </c>
      <c r="C14" s="7"/>
      <c r="D14" s="7"/>
      <c r="E14" s="7"/>
      <c r="F14" s="7"/>
      <c r="G14" s="7"/>
      <c r="H14" s="7"/>
    </row>
    <row r="15" spans="1:8" x14ac:dyDescent="0.2">
      <c r="A15" s="6" t="s">
        <v>22</v>
      </c>
      <c r="B15" s="2" t="s">
        <v>37</v>
      </c>
      <c r="C15" s="7"/>
      <c r="D15" s="2"/>
      <c r="E15" s="2"/>
      <c r="F15" s="2"/>
      <c r="G15" s="2"/>
      <c r="H15" s="7"/>
    </row>
    <row r="16" spans="1:8" x14ac:dyDescent="0.2">
      <c r="A16" s="6" t="s">
        <v>24</v>
      </c>
      <c r="B16" s="2" t="s">
        <v>37</v>
      </c>
      <c r="C16" s="7"/>
      <c r="D16" s="7"/>
      <c r="E16" s="2"/>
      <c r="F16" s="2"/>
      <c r="G16" s="2"/>
      <c r="H16" s="7"/>
    </row>
    <row r="17" spans="1:8" x14ac:dyDescent="0.2">
      <c r="A17" s="6" t="s">
        <v>28</v>
      </c>
      <c r="B17" s="2" t="s">
        <v>37</v>
      </c>
      <c r="C17" s="7"/>
      <c r="D17" s="2"/>
      <c r="E17" s="2"/>
      <c r="F17" s="2"/>
      <c r="G17" s="2"/>
      <c r="H17" s="7"/>
    </row>
    <row r="18" spans="1:8" x14ac:dyDescent="0.2">
      <c r="A18" s="6" t="s">
        <v>29</v>
      </c>
      <c r="B18" s="2" t="s">
        <v>37</v>
      </c>
      <c r="C18" s="7"/>
      <c r="D18" s="7"/>
      <c r="E18" s="2"/>
      <c r="F18" s="2"/>
      <c r="G18" s="2"/>
      <c r="H18" s="7"/>
    </row>
    <row r="19" spans="1:8" x14ac:dyDescent="0.2">
      <c r="A19" s="6" t="s">
        <v>38</v>
      </c>
      <c r="B19" s="2" t="s">
        <v>39</v>
      </c>
      <c r="C19" s="7"/>
      <c r="D19" s="7"/>
      <c r="E19" s="2"/>
      <c r="F19" s="2"/>
      <c r="G19" s="2"/>
      <c r="H19" s="7"/>
    </row>
    <row r="20" spans="1:8" ht="31.5" x14ac:dyDescent="0.2">
      <c r="A20" s="2"/>
      <c r="B20" s="25" t="s">
        <v>30</v>
      </c>
      <c r="C20" s="169"/>
      <c r="D20" s="169"/>
      <c r="E20" s="169"/>
      <c r="F20" s="169"/>
      <c r="G20" s="169"/>
      <c r="H20" s="169"/>
    </row>
    <row r="22" spans="1:8" x14ac:dyDescent="0.2">
      <c r="A22" s="8" t="s">
        <v>31</v>
      </c>
    </row>
    <row r="24" spans="1:8" x14ac:dyDescent="0.2">
      <c r="A24" s="9"/>
    </row>
    <row r="26" spans="1:8" x14ac:dyDescent="0.2">
      <c r="A26" s="9"/>
    </row>
    <row r="27" spans="1:8" x14ac:dyDescent="0.2">
      <c r="A27" s="9"/>
    </row>
    <row r="29" spans="1:8" x14ac:dyDescent="0.2">
      <c r="A29" s="9"/>
    </row>
    <row r="30" spans="1:8" x14ac:dyDescent="0.2">
      <c r="A30" s="9"/>
    </row>
  </sheetData>
  <mergeCells count="10">
    <mergeCell ref="H6:H7"/>
    <mergeCell ref="C20:H20"/>
    <mergeCell ref="A2:H2"/>
    <mergeCell ref="A4:H4"/>
    <mergeCell ref="A3:H3"/>
    <mergeCell ref="A6:A7"/>
    <mergeCell ref="B6:B7"/>
    <mergeCell ref="C6:C7"/>
    <mergeCell ref="D6:D7"/>
    <mergeCell ref="E6:G6"/>
  </mergeCells>
  <printOptions horizontalCentered="1"/>
  <pageMargins left="0.47244094488188981" right="0.47244094488188981" top="0.78740157480314965" bottom="0.59055118110236227" header="0.31496062992125984" footer="0.31496062992125984"/>
  <pageSetup paperSize="9" scale="98" fitToHeight="10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C18" sqref="C18"/>
    </sheetView>
  </sheetViews>
  <sheetFormatPr defaultColWidth="9.140625" defaultRowHeight="15.75" x14ac:dyDescent="0.2"/>
  <cols>
    <col min="1" max="1" width="9.140625" style="4"/>
    <col min="2" max="2" width="65.85546875" style="4" bestFit="1" customWidth="1"/>
    <col min="3" max="3" width="11.140625" style="4" bestFit="1" customWidth="1"/>
    <col min="4" max="5" width="12.42578125" style="4" bestFit="1" customWidth="1"/>
    <col min="6" max="6" width="11.140625" style="4" bestFit="1" customWidth="1"/>
    <col min="7" max="16384" width="9.140625" style="4"/>
  </cols>
  <sheetData>
    <row r="1" spans="1:6" x14ac:dyDescent="0.2">
      <c r="A1" s="10" t="str">
        <f>+'PL 01'!A1</f>
        <v>ỦY BAN NHÂN DÂN TỈNH QUẢNG TRỊ</v>
      </c>
    </row>
    <row r="3" spans="1:6" x14ac:dyDescent="0.2">
      <c r="A3" s="176" t="s">
        <v>40</v>
      </c>
      <c r="B3" s="176"/>
      <c r="C3" s="176"/>
      <c r="D3" s="176"/>
      <c r="E3" s="176"/>
      <c r="F3" s="176"/>
    </row>
    <row r="4" spans="1:6" ht="36.75" customHeight="1" x14ac:dyDescent="0.2">
      <c r="A4" s="177" t="s">
        <v>45</v>
      </c>
      <c r="B4" s="178"/>
      <c r="C4" s="178"/>
      <c r="D4" s="178"/>
      <c r="E4" s="178"/>
      <c r="F4" s="178"/>
    </row>
    <row r="5" spans="1:6" x14ac:dyDescent="0.2">
      <c r="A5" s="179" t="s">
        <v>46</v>
      </c>
      <c r="B5" s="176"/>
      <c r="C5" s="176"/>
      <c r="D5" s="176"/>
      <c r="E5" s="176"/>
      <c r="F5" s="176"/>
    </row>
    <row r="6" spans="1:6" x14ac:dyDescent="0.2">
      <c r="F6" s="11" t="s">
        <v>41</v>
      </c>
    </row>
    <row r="7" spans="1:6" x14ac:dyDescent="0.2">
      <c r="A7" s="12" t="s">
        <v>47</v>
      </c>
      <c r="B7" s="12" t="s">
        <v>48</v>
      </c>
      <c r="C7" s="12">
        <v>2019</v>
      </c>
      <c r="D7" s="12">
        <v>2020</v>
      </c>
      <c r="E7" s="12">
        <v>2021</v>
      </c>
      <c r="F7" s="12">
        <v>2022</v>
      </c>
    </row>
    <row r="8" spans="1:6" ht="20.100000000000001" customHeight="1" x14ac:dyDescent="0.2">
      <c r="A8" s="6" t="s">
        <v>22</v>
      </c>
      <c r="B8" s="2" t="s">
        <v>42</v>
      </c>
      <c r="C8" s="7"/>
      <c r="D8" s="7"/>
      <c r="E8" s="7"/>
      <c r="F8" s="7"/>
    </row>
    <row r="9" spans="1:6" ht="20.100000000000001" customHeight="1" x14ac:dyDescent="0.2">
      <c r="A9" s="6" t="s">
        <v>24</v>
      </c>
      <c r="B9" s="2" t="s">
        <v>43</v>
      </c>
      <c r="C9" s="7"/>
      <c r="D9" s="7"/>
      <c r="E9" s="7"/>
      <c r="F9" s="7"/>
    </row>
    <row r="10" spans="1:6" ht="20.100000000000001" customHeight="1" x14ac:dyDescent="0.2">
      <c r="A10" s="6" t="s">
        <v>28</v>
      </c>
      <c r="B10" s="2" t="s">
        <v>44</v>
      </c>
      <c r="C10" s="7"/>
      <c r="D10" s="7"/>
      <c r="E10" s="7"/>
      <c r="F10" s="7"/>
    </row>
    <row r="11" spans="1:6" x14ac:dyDescent="0.2">
      <c r="A11" s="2"/>
      <c r="B11" s="2"/>
      <c r="C11" s="2"/>
      <c r="D11" s="2"/>
      <c r="E11" s="2"/>
      <c r="F11" s="2"/>
    </row>
    <row r="12" spans="1:6" x14ac:dyDescent="0.2">
      <c r="A12" s="2"/>
      <c r="B12" s="2"/>
      <c r="C12" s="2"/>
      <c r="D12" s="2"/>
      <c r="E12" s="2"/>
      <c r="F12" s="2"/>
    </row>
  </sheetData>
  <mergeCells count="3">
    <mergeCell ref="A3:F3"/>
    <mergeCell ref="A4:F4"/>
    <mergeCell ref="A5:F5"/>
  </mergeCells>
  <printOptions horizontalCentered="1"/>
  <pageMargins left="0.47244094488188981" right="0.47244094488188981" top="0.78740157480314965" bottom="0.59055118110236227" header="0.31496062992125984" footer="0.31496062992125984"/>
  <pageSetup paperSize="9" fitToHeight="10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view="pageBreakPreview" topLeftCell="B1" zoomScaleNormal="100" zoomScaleSheetLayoutView="100" workbookViewId="0">
      <selection activeCell="G66" sqref="G66"/>
    </sheetView>
  </sheetViews>
  <sheetFormatPr defaultColWidth="9.140625" defaultRowHeight="15.75" x14ac:dyDescent="0.25"/>
  <cols>
    <col min="1" max="1" width="7.42578125" style="16" customWidth="1"/>
    <col min="2" max="6" width="11.28515625" style="16" bestFit="1" customWidth="1"/>
    <col min="7" max="7" width="14.28515625" style="16" bestFit="1" customWidth="1"/>
    <col min="8" max="13" width="9.140625" style="16"/>
    <col min="14" max="14" width="11.28515625" style="16" bestFit="1" customWidth="1"/>
    <col min="15" max="15" width="10.140625" style="16" bestFit="1" customWidth="1"/>
    <col min="16" max="16" width="11.28515625" style="16" bestFit="1" customWidth="1"/>
    <col min="17" max="17" width="19" style="16" customWidth="1"/>
    <col min="18" max="18" width="9.85546875" style="16" bestFit="1" customWidth="1"/>
    <col min="19" max="19" width="11.28515625" style="16" bestFit="1" customWidth="1"/>
    <col min="20" max="20" width="12.42578125" style="16" bestFit="1" customWidth="1"/>
    <col min="21" max="21" width="10.140625" style="16" bestFit="1" customWidth="1"/>
    <col min="22" max="22" width="16.85546875" style="16" bestFit="1" customWidth="1"/>
    <col min="23" max="23" width="8.7109375" style="16" bestFit="1" customWidth="1"/>
    <col min="24" max="16384" width="9.140625" style="16"/>
  </cols>
  <sheetData>
    <row r="1" spans="1:23" x14ac:dyDescent="0.25">
      <c r="A1" s="13" t="str">
        <f>+'PL 02'!A1</f>
        <v>ỦY BAN NHÂN DÂN TỈNH QUẢNG TRỊ</v>
      </c>
      <c r="B1" s="14"/>
      <c r="C1" s="15"/>
      <c r="D1" s="14"/>
      <c r="E1" s="14"/>
      <c r="F1" s="14"/>
      <c r="G1" s="14"/>
      <c r="H1" s="14"/>
      <c r="I1" s="14"/>
      <c r="J1" s="14"/>
      <c r="K1" s="14"/>
      <c r="L1" s="14"/>
      <c r="M1" s="14"/>
      <c r="N1" s="14"/>
      <c r="O1" s="14"/>
      <c r="P1" s="14"/>
    </row>
    <row r="2" spans="1:23" x14ac:dyDescent="0.25">
      <c r="A2" s="14"/>
      <c r="B2" s="14"/>
      <c r="C2" s="14"/>
      <c r="D2" s="14"/>
      <c r="E2" s="14"/>
      <c r="F2" s="14"/>
      <c r="G2" s="14"/>
      <c r="H2" s="14"/>
      <c r="I2" s="14"/>
      <c r="J2" s="14"/>
      <c r="K2" s="14"/>
      <c r="L2" s="14"/>
      <c r="M2" s="14"/>
      <c r="N2" s="14"/>
      <c r="O2" s="14"/>
      <c r="P2" s="14"/>
    </row>
    <row r="3" spans="1:23" x14ac:dyDescent="0.25">
      <c r="A3" s="181" t="s">
        <v>49</v>
      </c>
      <c r="B3" s="181"/>
      <c r="C3" s="181"/>
      <c r="D3" s="181"/>
      <c r="E3" s="181"/>
      <c r="F3" s="181"/>
      <c r="G3" s="181"/>
      <c r="H3" s="181"/>
      <c r="I3" s="181"/>
      <c r="J3" s="181"/>
      <c r="K3" s="181"/>
      <c r="L3" s="181"/>
      <c r="M3" s="181"/>
      <c r="N3" s="181"/>
      <c r="O3" s="181"/>
      <c r="P3" s="181"/>
    </row>
    <row r="4" spans="1:23" ht="32.25" customHeight="1" x14ac:dyDescent="0.25">
      <c r="A4" s="182" t="s">
        <v>71</v>
      </c>
      <c r="B4" s="182"/>
      <c r="C4" s="182"/>
      <c r="D4" s="182"/>
      <c r="E4" s="182"/>
      <c r="F4" s="182"/>
      <c r="G4" s="182"/>
      <c r="H4" s="182"/>
      <c r="I4" s="182"/>
      <c r="J4" s="182"/>
      <c r="K4" s="182"/>
      <c r="L4" s="182"/>
      <c r="M4" s="182"/>
      <c r="N4" s="182"/>
      <c r="O4" s="182"/>
      <c r="P4" s="182"/>
    </row>
    <row r="5" spans="1:23" x14ac:dyDescent="0.25">
      <c r="A5" s="180" t="s">
        <v>46</v>
      </c>
      <c r="B5" s="181"/>
      <c r="C5" s="181"/>
      <c r="D5" s="181"/>
      <c r="E5" s="181"/>
      <c r="F5" s="181"/>
      <c r="G5" s="181"/>
      <c r="H5" s="181"/>
      <c r="I5" s="181"/>
      <c r="J5" s="181"/>
      <c r="K5" s="181"/>
      <c r="L5" s="181"/>
      <c r="M5" s="181"/>
      <c r="N5" s="181"/>
      <c r="O5" s="181"/>
      <c r="P5" s="181"/>
    </row>
    <row r="6" spans="1:23" x14ac:dyDescent="0.25">
      <c r="A6" s="14"/>
      <c r="B6" s="14"/>
      <c r="C6" s="14"/>
      <c r="D6" s="14"/>
      <c r="E6" s="14"/>
      <c r="F6" s="14"/>
      <c r="G6" s="14"/>
      <c r="H6" s="14"/>
      <c r="I6" s="14"/>
      <c r="J6" s="14"/>
      <c r="K6" s="14"/>
      <c r="L6" s="14"/>
      <c r="M6" s="14"/>
      <c r="N6" s="14"/>
      <c r="O6" s="14"/>
      <c r="P6" s="26" t="s">
        <v>85</v>
      </c>
    </row>
    <row r="7" spans="1:23" s="20" customFormat="1" ht="89.25" customHeight="1" x14ac:dyDescent="0.2">
      <c r="A7" s="17" t="s">
        <v>50</v>
      </c>
      <c r="B7" s="18" t="s">
        <v>70</v>
      </c>
      <c r="C7" s="18" t="s">
        <v>69</v>
      </c>
      <c r="D7" s="19" t="s">
        <v>51</v>
      </c>
      <c r="E7" s="19" t="s">
        <v>52</v>
      </c>
      <c r="F7" s="19" t="s">
        <v>53</v>
      </c>
      <c r="G7" s="17" t="s">
        <v>54</v>
      </c>
      <c r="H7" s="17" t="s">
        <v>55</v>
      </c>
      <c r="I7" s="17" t="s">
        <v>56</v>
      </c>
      <c r="J7" s="17" t="s">
        <v>57</v>
      </c>
      <c r="K7" s="17" t="s">
        <v>58</v>
      </c>
      <c r="L7" s="17" t="s">
        <v>59</v>
      </c>
      <c r="M7" s="17" t="s">
        <v>60</v>
      </c>
      <c r="N7" s="19" t="s">
        <v>61</v>
      </c>
      <c r="O7" s="17" t="s">
        <v>62</v>
      </c>
      <c r="P7" s="17" t="s">
        <v>63</v>
      </c>
    </row>
    <row r="8" spans="1:23" x14ac:dyDescent="0.25">
      <c r="A8" s="27" t="s">
        <v>72</v>
      </c>
      <c r="B8" s="28"/>
      <c r="C8" s="28"/>
      <c r="D8" s="28"/>
      <c r="E8" s="28"/>
      <c r="F8" s="28"/>
      <c r="G8" s="28"/>
      <c r="H8" s="28"/>
      <c r="I8" s="28"/>
      <c r="J8" s="28"/>
      <c r="K8" s="28"/>
      <c r="L8" s="28"/>
      <c r="M8" s="28"/>
      <c r="N8" s="28"/>
      <c r="O8" s="28"/>
      <c r="P8" s="28"/>
      <c r="Q8" s="29">
        <v>23210</v>
      </c>
      <c r="R8" s="29"/>
    </row>
    <row r="9" spans="1:23" x14ac:dyDescent="0.25">
      <c r="A9" s="30" t="s">
        <v>22</v>
      </c>
      <c r="B9" s="31">
        <v>44576</v>
      </c>
      <c r="C9" s="31">
        <f t="shared" ref="C9:C21" si="0">DATE(YEAR(B9),MONTH(B9)+6,DAY(B9))</f>
        <v>44757</v>
      </c>
      <c r="D9" s="30">
        <f>+C9-B9</f>
        <v>181</v>
      </c>
      <c r="E9" s="32">
        <v>1200000</v>
      </c>
      <c r="F9" s="32">
        <v>1200000</v>
      </c>
      <c r="G9" s="32">
        <f t="shared" ref="G9:G14" si="1">SUM(E10:E16)</f>
        <v>10800000</v>
      </c>
      <c r="H9" s="33"/>
      <c r="I9" s="34">
        <v>1.2</v>
      </c>
      <c r="J9" s="34">
        <v>0.5</v>
      </c>
      <c r="K9" s="34">
        <v>1.7</v>
      </c>
      <c r="L9" s="34">
        <v>0.25</v>
      </c>
      <c r="M9" s="34">
        <v>0.15</v>
      </c>
      <c r="N9" s="35"/>
      <c r="O9" s="32">
        <f>+F9*K9%*D9/360+G9*M9%*D9/360+F9*L9%*D9/360</f>
        <v>19909.999999999996</v>
      </c>
      <c r="P9" s="32">
        <f>+N9+O9</f>
        <v>19909.999999999996</v>
      </c>
      <c r="Q9" s="21">
        <f>+$Q$8*S9</f>
        <v>20185272800</v>
      </c>
      <c r="R9" s="24">
        <f>+ROUND(Q9,-6)/10^6</f>
        <v>20185</v>
      </c>
      <c r="S9" s="22">
        <f>SUM(O9:O18)</f>
        <v>869680</v>
      </c>
      <c r="T9" s="16" t="s">
        <v>83</v>
      </c>
      <c r="U9" s="22">
        <f>+S9/5</f>
        <v>173936</v>
      </c>
      <c r="V9" s="23">
        <f>+U9*$Q$8</f>
        <v>4037054560</v>
      </c>
      <c r="W9" s="24">
        <f t="shared" ref="W9:W10" si="2">+ROUND(V9,-6)/10^6</f>
        <v>4037</v>
      </c>
    </row>
    <row r="10" spans="1:23" x14ac:dyDescent="0.25">
      <c r="A10" s="30">
        <f>+A9+1</f>
        <v>2</v>
      </c>
      <c r="B10" s="31">
        <f t="shared" ref="B10:B18" si="3">C9</f>
        <v>44757</v>
      </c>
      <c r="C10" s="31">
        <f t="shared" si="0"/>
        <v>44941</v>
      </c>
      <c r="D10" s="30">
        <f t="shared" ref="D10:D59" si="4">+C10-B10</f>
        <v>184</v>
      </c>
      <c r="E10" s="32">
        <v>1200000</v>
      </c>
      <c r="F10" s="32">
        <f>E10+F9-N9</f>
        <v>2400000</v>
      </c>
      <c r="G10" s="32">
        <f t="shared" si="1"/>
        <v>9600000</v>
      </c>
      <c r="H10" s="33"/>
      <c r="I10" s="34">
        <v>1.2</v>
      </c>
      <c r="J10" s="34">
        <v>0.5</v>
      </c>
      <c r="K10" s="34">
        <v>1.7</v>
      </c>
      <c r="L10" s="34">
        <v>0.25</v>
      </c>
      <c r="M10" s="34">
        <v>0.15</v>
      </c>
      <c r="N10" s="35"/>
      <c r="O10" s="32">
        <f t="shared" ref="O10:O20" si="5">+F10*K10%*D10/360+G10*M10%*D10/360+F10*L10%*D10/360</f>
        <v>31280</v>
      </c>
      <c r="P10" s="32">
        <f t="shared" ref="P10:P20" si="6">+N10+O10</f>
        <v>31280</v>
      </c>
      <c r="Q10" s="21">
        <f>+$Q$8*S10</f>
        <v>334992552730</v>
      </c>
      <c r="R10" s="24">
        <f>+ROUND(Q10,-6)/10^6</f>
        <v>334993</v>
      </c>
      <c r="S10" s="22">
        <f>+S11+S12</f>
        <v>14433113</v>
      </c>
      <c r="T10" s="16" t="s">
        <v>84</v>
      </c>
      <c r="U10" s="22">
        <f>+S10/5</f>
        <v>2886622.6</v>
      </c>
      <c r="V10" s="23">
        <f>+U10*$Q$8</f>
        <v>66998510546</v>
      </c>
      <c r="W10" s="24">
        <f t="shared" si="2"/>
        <v>66999</v>
      </c>
    </row>
    <row r="11" spans="1:23" x14ac:dyDescent="0.25">
      <c r="A11" s="30">
        <f t="shared" ref="A11:A18" si="7">+A10+1</f>
        <v>3</v>
      </c>
      <c r="B11" s="31">
        <f t="shared" si="3"/>
        <v>44941</v>
      </c>
      <c r="C11" s="31">
        <f t="shared" si="0"/>
        <v>45122</v>
      </c>
      <c r="D11" s="30">
        <f t="shared" si="4"/>
        <v>181</v>
      </c>
      <c r="E11" s="32">
        <v>2400000</v>
      </c>
      <c r="F11" s="32">
        <f t="shared" ref="F11:F59" si="8">E11+F10-N10</f>
        <v>4800000</v>
      </c>
      <c r="G11" s="32">
        <f t="shared" si="1"/>
        <v>7200000</v>
      </c>
      <c r="H11" s="33"/>
      <c r="I11" s="34">
        <v>1.2</v>
      </c>
      <c r="J11" s="34">
        <v>0.5</v>
      </c>
      <c r="K11" s="34">
        <v>1.7</v>
      </c>
      <c r="L11" s="34">
        <v>0.25</v>
      </c>
      <c r="M11" s="34">
        <v>0.15</v>
      </c>
      <c r="N11" s="35"/>
      <c r="O11" s="32">
        <f t="shared" si="5"/>
        <v>52490</v>
      </c>
      <c r="P11" s="32">
        <f t="shared" si="6"/>
        <v>52490</v>
      </c>
      <c r="S11" s="21">
        <f>SUM(N20:N59)</f>
        <v>12000000</v>
      </c>
      <c r="U11" s="21"/>
    </row>
    <row r="12" spans="1:23" x14ac:dyDescent="0.25">
      <c r="A12" s="30">
        <f t="shared" si="7"/>
        <v>4</v>
      </c>
      <c r="B12" s="31">
        <f t="shared" si="3"/>
        <v>45122</v>
      </c>
      <c r="C12" s="31">
        <f t="shared" si="0"/>
        <v>45306</v>
      </c>
      <c r="D12" s="30">
        <f t="shared" si="4"/>
        <v>184</v>
      </c>
      <c r="E12" s="32">
        <v>2400000</v>
      </c>
      <c r="F12" s="32">
        <f t="shared" si="8"/>
        <v>7200000</v>
      </c>
      <c r="G12" s="32">
        <f t="shared" si="1"/>
        <v>4800000</v>
      </c>
      <c r="H12" s="33"/>
      <c r="I12" s="34">
        <v>1.2</v>
      </c>
      <c r="J12" s="34">
        <v>0.5</v>
      </c>
      <c r="K12" s="34">
        <v>1.7</v>
      </c>
      <c r="L12" s="34">
        <v>0.25</v>
      </c>
      <c r="M12" s="34">
        <v>0.15</v>
      </c>
      <c r="N12" s="35"/>
      <c r="O12" s="32">
        <f t="shared" si="5"/>
        <v>75440</v>
      </c>
      <c r="P12" s="32">
        <f t="shared" si="6"/>
        <v>75440</v>
      </c>
      <c r="S12" s="21">
        <f>ROUND(SUM(O20:O59),0)</f>
        <v>2433113</v>
      </c>
    </row>
    <row r="13" spans="1:23" x14ac:dyDescent="0.25">
      <c r="A13" s="30">
        <f t="shared" si="7"/>
        <v>5</v>
      </c>
      <c r="B13" s="31">
        <f t="shared" si="3"/>
        <v>45306</v>
      </c>
      <c r="C13" s="31">
        <f t="shared" si="0"/>
        <v>45488</v>
      </c>
      <c r="D13" s="30">
        <f t="shared" si="4"/>
        <v>182</v>
      </c>
      <c r="E13" s="32">
        <v>2400000</v>
      </c>
      <c r="F13" s="32">
        <f t="shared" si="8"/>
        <v>9600000</v>
      </c>
      <c r="G13" s="32">
        <f t="shared" si="1"/>
        <v>2400000</v>
      </c>
      <c r="H13" s="33"/>
      <c r="I13" s="34">
        <v>1.2</v>
      </c>
      <c r="J13" s="34">
        <v>0.5</v>
      </c>
      <c r="K13" s="34">
        <v>1.7</v>
      </c>
      <c r="L13" s="34">
        <v>0.25</v>
      </c>
      <c r="M13" s="34">
        <v>0.15</v>
      </c>
      <c r="N13" s="35"/>
      <c r="O13" s="32">
        <f t="shared" si="5"/>
        <v>96460</v>
      </c>
      <c r="P13" s="32">
        <f t="shared" si="6"/>
        <v>96460</v>
      </c>
    </row>
    <row r="14" spans="1:23" x14ac:dyDescent="0.25">
      <c r="A14" s="30">
        <f t="shared" si="7"/>
        <v>6</v>
      </c>
      <c r="B14" s="31">
        <f t="shared" si="3"/>
        <v>45488</v>
      </c>
      <c r="C14" s="31">
        <f t="shared" si="0"/>
        <v>45672</v>
      </c>
      <c r="D14" s="30">
        <f t="shared" si="4"/>
        <v>184</v>
      </c>
      <c r="E14" s="32">
        <v>2400000</v>
      </c>
      <c r="F14" s="32">
        <f t="shared" si="8"/>
        <v>12000000</v>
      </c>
      <c r="G14" s="36">
        <f t="shared" si="1"/>
        <v>0</v>
      </c>
      <c r="H14" s="33"/>
      <c r="I14" s="34">
        <v>1.2</v>
      </c>
      <c r="J14" s="34">
        <v>0.5</v>
      </c>
      <c r="K14" s="34">
        <v>1.7</v>
      </c>
      <c r="L14" s="34">
        <v>0.25</v>
      </c>
      <c r="M14" s="34">
        <v>0.15</v>
      </c>
      <c r="N14" s="35"/>
      <c r="O14" s="32">
        <f t="shared" si="5"/>
        <v>119600.00000000001</v>
      </c>
      <c r="P14" s="32">
        <f t="shared" si="6"/>
        <v>119600.00000000001</v>
      </c>
    </row>
    <row r="15" spans="1:23" x14ac:dyDescent="0.25">
      <c r="A15" s="30">
        <f t="shared" si="7"/>
        <v>7</v>
      </c>
      <c r="B15" s="31">
        <f t="shared" si="3"/>
        <v>45672</v>
      </c>
      <c r="C15" s="31">
        <f t="shared" si="0"/>
        <v>45853</v>
      </c>
      <c r="D15" s="30">
        <f t="shared" si="4"/>
        <v>181</v>
      </c>
      <c r="E15" s="37"/>
      <c r="F15" s="32">
        <f t="shared" si="8"/>
        <v>12000000</v>
      </c>
      <c r="G15" s="37"/>
      <c r="H15" s="33"/>
      <c r="I15" s="34">
        <v>1.2</v>
      </c>
      <c r="J15" s="34">
        <v>0.5</v>
      </c>
      <c r="K15" s="34">
        <v>1.7</v>
      </c>
      <c r="L15" s="34">
        <v>0.25</v>
      </c>
      <c r="M15" s="38">
        <v>0</v>
      </c>
      <c r="N15" s="35"/>
      <c r="O15" s="32">
        <f t="shared" si="5"/>
        <v>117650.00000000001</v>
      </c>
      <c r="P15" s="32">
        <f t="shared" si="6"/>
        <v>117650.00000000001</v>
      </c>
    </row>
    <row r="16" spans="1:23" x14ac:dyDescent="0.25">
      <c r="A16" s="30">
        <f t="shared" si="7"/>
        <v>8</v>
      </c>
      <c r="B16" s="31">
        <f t="shared" si="3"/>
        <v>45853</v>
      </c>
      <c r="C16" s="31">
        <f t="shared" si="0"/>
        <v>46037</v>
      </c>
      <c r="D16" s="30">
        <f t="shared" si="4"/>
        <v>184</v>
      </c>
      <c r="E16" s="37"/>
      <c r="F16" s="32">
        <f t="shared" si="8"/>
        <v>12000000</v>
      </c>
      <c r="G16" s="39"/>
      <c r="H16" s="33"/>
      <c r="I16" s="34">
        <v>1.2</v>
      </c>
      <c r="J16" s="34">
        <v>0.5</v>
      </c>
      <c r="K16" s="34">
        <v>1.7</v>
      </c>
      <c r="L16" s="34">
        <v>0.25</v>
      </c>
      <c r="M16" s="38">
        <v>0</v>
      </c>
      <c r="N16" s="35"/>
      <c r="O16" s="32">
        <f t="shared" si="5"/>
        <v>119600.00000000001</v>
      </c>
      <c r="P16" s="32">
        <f t="shared" si="6"/>
        <v>119600.00000000001</v>
      </c>
    </row>
    <row r="17" spans="1:16" x14ac:dyDescent="0.25">
      <c r="A17" s="30">
        <f t="shared" si="7"/>
        <v>9</v>
      </c>
      <c r="B17" s="31">
        <f t="shared" si="3"/>
        <v>46037</v>
      </c>
      <c r="C17" s="31">
        <f t="shared" si="0"/>
        <v>46218</v>
      </c>
      <c r="D17" s="30">
        <f t="shared" si="4"/>
        <v>181</v>
      </c>
      <c r="E17" s="35"/>
      <c r="F17" s="32">
        <f t="shared" si="8"/>
        <v>12000000</v>
      </c>
      <c r="G17" s="39"/>
      <c r="H17" s="33"/>
      <c r="I17" s="34">
        <v>1.2</v>
      </c>
      <c r="J17" s="34">
        <v>0.5</v>
      </c>
      <c r="K17" s="34">
        <v>1.7</v>
      </c>
      <c r="L17" s="34">
        <v>0.25</v>
      </c>
      <c r="M17" s="38">
        <v>0</v>
      </c>
      <c r="N17" s="35"/>
      <c r="O17" s="32">
        <f t="shared" si="5"/>
        <v>117650.00000000001</v>
      </c>
      <c r="P17" s="32">
        <f t="shared" si="6"/>
        <v>117650.00000000001</v>
      </c>
    </row>
    <row r="18" spans="1:16" x14ac:dyDescent="0.25">
      <c r="A18" s="30">
        <f t="shared" si="7"/>
        <v>10</v>
      </c>
      <c r="B18" s="31">
        <f t="shared" si="3"/>
        <v>46218</v>
      </c>
      <c r="C18" s="31">
        <f t="shared" si="0"/>
        <v>46402</v>
      </c>
      <c r="D18" s="30">
        <f t="shared" si="4"/>
        <v>184</v>
      </c>
      <c r="E18" s="35"/>
      <c r="F18" s="32">
        <f t="shared" si="8"/>
        <v>12000000</v>
      </c>
      <c r="G18" s="33"/>
      <c r="H18" s="33"/>
      <c r="I18" s="34">
        <v>1.2</v>
      </c>
      <c r="J18" s="34">
        <v>0.5</v>
      </c>
      <c r="K18" s="34">
        <v>1.7</v>
      </c>
      <c r="L18" s="34">
        <v>0.25</v>
      </c>
      <c r="M18" s="38">
        <v>0</v>
      </c>
      <c r="N18" s="35"/>
      <c r="O18" s="32">
        <f t="shared" si="5"/>
        <v>119600.00000000001</v>
      </c>
      <c r="P18" s="32">
        <f t="shared" si="6"/>
        <v>119600.00000000001</v>
      </c>
    </row>
    <row r="19" spans="1:16" x14ac:dyDescent="0.25">
      <c r="A19" s="40" t="s">
        <v>73</v>
      </c>
      <c r="B19" s="41"/>
      <c r="C19" s="41"/>
      <c r="D19" s="41"/>
      <c r="E19" s="41"/>
      <c r="F19" s="41"/>
      <c r="G19" s="41"/>
      <c r="H19" s="41"/>
      <c r="I19" s="41"/>
      <c r="J19" s="41"/>
      <c r="K19" s="41"/>
      <c r="L19" s="41"/>
      <c r="M19" s="41"/>
      <c r="N19" s="41"/>
      <c r="O19" s="33"/>
      <c r="P19" s="33"/>
    </row>
    <row r="20" spans="1:16" x14ac:dyDescent="0.25">
      <c r="A20" s="30">
        <f>+A18+1</f>
        <v>11</v>
      </c>
      <c r="B20" s="42">
        <f>+C18</f>
        <v>46402</v>
      </c>
      <c r="C20" s="31">
        <f t="shared" si="0"/>
        <v>46583</v>
      </c>
      <c r="D20" s="30">
        <f t="shared" si="4"/>
        <v>181</v>
      </c>
      <c r="E20" s="35"/>
      <c r="F20" s="32">
        <f>E20+F18-N18</f>
        <v>12000000</v>
      </c>
      <c r="G20" s="33"/>
      <c r="H20" s="43">
        <v>2.5</v>
      </c>
      <c r="I20" s="30" t="s">
        <v>64</v>
      </c>
      <c r="J20" s="30" t="s">
        <v>65</v>
      </c>
      <c r="K20" s="30" t="s">
        <v>66</v>
      </c>
      <c r="L20" s="30" t="s">
        <v>67</v>
      </c>
      <c r="M20" s="33"/>
      <c r="N20" s="32">
        <f>+H20%*12000000</f>
        <v>300000</v>
      </c>
      <c r="O20" s="32">
        <f t="shared" si="5"/>
        <v>117650.00000000001</v>
      </c>
      <c r="P20" s="32">
        <f t="shared" si="6"/>
        <v>417650</v>
      </c>
    </row>
    <row r="21" spans="1:16" x14ac:dyDescent="0.25">
      <c r="A21" s="30">
        <f>+A20+1</f>
        <v>12</v>
      </c>
      <c r="B21" s="42">
        <f>+C20</f>
        <v>46583</v>
      </c>
      <c r="C21" s="31">
        <f t="shared" si="0"/>
        <v>46767</v>
      </c>
      <c r="D21" s="30">
        <f t="shared" si="4"/>
        <v>184</v>
      </c>
      <c r="E21" s="35"/>
      <c r="F21" s="32">
        <f t="shared" si="8"/>
        <v>11700000</v>
      </c>
      <c r="G21" s="33"/>
      <c r="H21" s="43">
        <v>2.5</v>
      </c>
      <c r="I21" s="30" t="s">
        <v>64</v>
      </c>
      <c r="J21" s="30" t="s">
        <v>65</v>
      </c>
      <c r="K21" s="30" t="s">
        <v>66</v>
      </c>
      <c r="L21" s="30" t="s">
        <v>67</v>
      </c>
      <c r="M21" s="33"/>
      <c r="N21" s="32">
        <f t="shared" ref="N21:N59" si="9">+H21%*12000000</f>
        <v>300000</v>
      </c>
      <c r="O21" s="32">
        <f t="shared" ref="O21:O59" si="10">+F21*K21%*D21/360+G21*M21%*D21/360+F21*L21%*D21/360</f>
        <v>116610</v>
      </c>
      <c r="P21" s="32">
        <f t="shared" ref="P21:P59" si="11">+N21+O21</f>
        <v>416610</v>
      </c>
    </row>
    <row r="22" spans="1:16" x14ac:dyDescent="0.25">
      <c r="A22" s="30">
        <f t="shared" ref="A22:A59" si="12">+A21+1</f>
        <v>13</v>
      </c>
      <c r="B22" s="42">
        <f t="shared" ref="B22:B59" si="13">+C21</f>
        <v>46767</v>
      </c>
      <c r="C22" s="31">
        <f t="shared" ref="C22:C41" si="14">DATE(YEAR(B22),MONTH(B22)+6,DAY(B22))</f>
        <v>46949</v>
      </c>
      <c r="D22" s="30">
        <f t="shared" si="4"/>
        <v>182</v>
      </c>
      <c r="E22" s="35"/>
      <c r="F22" s="32">
        <f t="shared" si="8"/>
        <v>11400000</v>
      </c>
      <c r="G22" s="33"/>
      <c r="H22" s="43">
        <v>2.5</v>
      </c>
      <c r="I22" s="30" t="s">
        <v>64</v>
      </c>
      <c r="J22" s="30" t="s">
        <v>65</v>
      </c>
      <c r="K22" s="30" t="s">
        <v>66</v>
      </c>
      <c r="L22" s="30" t="s">
        <v>67</v>
      </c>
      <c r="M22" s="33"/>
      <c r="N22" s="32">
        <f t="shared" si="9"/>
        <v>300000</v>
      </c>
      <c r="O22" s="32">
        <f t="shared" si="10"/>
        <v>112385</v>
      </c>
      <c r="P22" s="32">
        <f t="shared" si="11"/>
        <v>412385</v>
      </c>
    </row>
    <row r="23" spans="1:16" x14ac:dyDescent="0.25">
      <c r="A23" s="30">
        <f t="shared" si="12"/>
        <v>14</v>
      </c>
      <c r="B23" s="42">
        <f t="shared" si="13"/>
        <v>46949</v>
      </c>
      <c r="C23" s="31">
        <f t="shared" si="14"/>
        <v>47133</v>
      </c>
      <c r="D23" s="30">
        <f t="shared" si="4"/>
        <v>184</v>
      </c>
      <c r="E23" s="35"/>
      <c r="F23" s="32">
        <f t="shared" si="8"/>
        <v>11100000</v>
      </c>
      <c r="G23" s="33"/>
      <c r="H23" s="43">
        <v>2.5</v>
      </c>
      <c r="I23" s="30" t="s">
        <v>64</v>
      </c>
      <c r="J23" s="30" t="s">
        <v>65</v>
      </c>
      <c r="K23" s="30" t="s">
        <v>66</v>
      </c>
      <c r="L23" s="30" t="s">
        <v>67</v>
      </c>
      <c r="M23" s="33"/>
      <c r="N23" s="32">
        <f t="shared" si="9"/>
        <v>300000</v>
      </c>
      <c r="O23" s="32">
        <f t="shared" si="10"/>
        <v>110630</v>
      </c>
      <c r="P23" s="32">
        <f t="shared" si="11"/>
        <v>410630</v>
      </c>
    </row>
    <row r="24" spans="1:16" x14ac:dyDescent="0.25">
      <c r="A24" s="30">
        <f t="shared" si="12"/>
        <v>15</v>
      </c>
      <c r="B24" s="42">
        <f t="shared" si="13"/>
        <v>47133</v>
      </c>
      <c r="C24" s="31">
        <f t="shared" si="14"/>
        <v>47314</v>
      </c>
      <c r="D24" s="30">
        <f t="shared" si="4"/>
        <v>181</v>
      </c>
      <c r="E24" s="35"/>
      <c r="F24" s="32">
        <f t="shared" si="8"/>
        <v>10800000</v>
      </c>
      <c r="G24" s="33"/>
      <c r="H24" s="43">
        <v>2.5</v>
      </c>
      <c r="I24" s="30" t="s">
        <v>64</v>
      </c>
      <c r="J24" s="30" t="s">
        <v>65</v>
      </c>
      <c r="K24" s="30" t="s">
        <v>66</v>
      </c>
      <c r="L24" s="30" t="s">
        <v>67</v>
      </c>
      <c r="M24" s="33"/>
      <c r="N24" s="32">
        <f t="shared" si="9"/>
        <v>300000</v>
      </c>
      <c r="O24" s="32">
        <f t="shared" si="10"/>
        <v>105885</v>
      </c>
      <c r="P24" s="32">
        <f t="shared" si="11"/>
        <v>405885</v>
      </c>
    </row>
    <row r="25" spans="1:16" x14ac:dyDescent="0.25">
      <c r="A25" s="30">
        <f t="shared" si="12"/>
        <v>16</v>
      </c>
      <c r="B25" s="42">
        <f t="shared" si="13"/>
        <v>47314</v>
      </c>
      <c r="C25" s="31">
        <f t="shared" si="14"/>
        <v>47498</v>
      </c>
      <c r="D25" s="30">
        <f t="shared" si="4"/>
        <v>184</v>
      </c>
      <c r="E25" s="35"/>
      <c r="F25" s="32">
        <f t="shared" si="8"/>
        <v>10500000</v>
      </c>
      <c r="G25" s="33"/>
      <c r="H25" s="43">
        <v>2.5</v>
      </c>
      <c r="I25" s="30" t="s">
        <v>64</v>
      </c>
      <c r="J25" s="30" t="s">
        <v>65</v>
      </c>
      <c r="K25" s="30" t="s">
        <v>66</v>
      </c>
      <c r="L25" s="30" t="s">
        <v>67</v>
      </c>
      <c r="M25" s="33"/>
      <c r="N25" s="32">
        <f t="shared" si="9"/>
        <v>300000</v>
      </c>
      <c r="O25" s="32">
        <f t="shared" si="10"/>
        <v>104650</v>
      </c>
      <c r="P25" s="32">
        <f t="shared" si="11"/>
        <v>404650</v>
      </c>
    </row>
    <row r="26" spans="1:16" x14ac:dyDescent="0.25">
      <c r="A26" s="30">
        <f t="shared" si="12"/>
        <v>17</v>
      </c>
      <c r="B26" s="42">
        <f t="shared" si="13"/>
        <v>47498</v>
      </c>
      <c r="C26" s="31">
        <f t="shared" si="14"/>
        <v>47679</v>
      </c>
      <c r="D26" s="30">
        <f t="shared" si="4"/>
        <v>181</v>
      </c>
      <c r="E26" s="35"/>
      <c r="F26" s="32">
        <f t="shared" si="8"/>
        <v>10200000</v>
      </c>
      <c r="G26" s="33"/>
      <c r="H26" s="43">
        <v>2.5</v>
      </c>
      <c r="I26" s="30" t="s">
        <v>64</v>
      </c>
      <c r="J26" s="30" t="s">
        <v>65</v>
      </c>
      <c r="K26" s="30" t="s">
        <v>66</v>
      </c>
      <c r="L26" s="30" t="s">
        <v>67</v>
      </c>
      <c r="M26" s="33"/>
      <c r="N26" s="32">
        <f t="shared" si="9"/>
        <v>300000</v>
      </c>
      <c r="O26" s="32">
        <f t="shared" si="10"/>
        <v>100002.5</v>
      </c>
      <c r="P26" s="32">
        <f t="shared" si="11"/>
        <v>400002.5</v>
      </c>
    </row>
    <row r="27" spans="1:16" x14ac:dyDescent="0.25">
      <c r="A27" s="30">
        <f t="shared" si="12"/>
        <v>18</v>
      </c>
      <c r="B27" s="42">
        <f t="shared" si="13"/>
        <v>47679</v>
      </c>
      <c r="C27" s="31">
        <f t="shared" si="14"/>
        <v>47863</v>
      </c>
      <c r="D27" s="30">
        <f t="shared" si="4"/>
        <v>184</v>
      </c>
      <c r="E27" s="35"/>
      <c r="F27" s="32">
        <f t="shared" si="8"/>
        <v>9900000</v>
      </c>
      <c r="G27" s="33"/>
      <c r="H27" s="43">
        <v>2.5</v>
      </c>
      <c r="I27" s="30" t="s">
        <v>64</v>
      </c>
      <c r="J27" s="30" t="s">
        <v>65</v>
      </c>
      <c r="K27" s="30" t="s">
        <v>66</v>
      </c>
      <c r="L27" s="30" t="s">
        <v>67</v>
      </c>
      <c r="M27" s="33"/>
      <c r="N27" s="32">
        <f t="shared" si="9"/>
        <v>300000</v>
      </c>
      <c r="O27" s="32">
        <f t="shared" si="10"/>
        <v>98670</v>
      </c>
      <c r="P27" s="32">
        <f t="shared" si="11"/>
        <v>398670</v>
      </c>
    </row>
    <row r="28" spans="1:16" x14ac:dyDescent="0.25">
      <c r="A28" s="30">
        <f t="shared" si="12"/>
        <v>19</v>
      </c>
      <c r="B28" s="42">
        <f t="shared" si="13"/>
        <v>47863</v>
      </c>
      <c r="C28" s="31">
        <f t="shared" si="14"/>
        <v>48044</v>
      </c>
      <c r="D28" s="30">
        <f t="shared" si="4"/>
        <v>181</v>
      </c>
      <c r="E28" s="35"/>
      <c r="F28" s="32">
        <f t="shared" si="8"/>
        <v>9600000</v>
      </c>
      <c r="G28" s="33"/>
      <c r="H28" s="43">
        <v>2.5</v>
      </c>
      <c r="I28" s="30" t="s">
        <v>64</v>
      </c>
      <c r="J28" s="30" t="s">
        <v>65</v>
      </c>
      <c r="K28" s="30" t="s">
        <v>66</v>
      </c>
      <c r="L28" s="30" t="s">
        <v>67</v>
      </c>
      <c r="M28" s="33"/>
      <c r="N28" s="32">
        <f t="shared" si="9"/>
        <v>300000</v>
      </c>
      <c r="O28" s="32">
        <f t="shared" si="10"/>
        <v>94120</v>
      </c>
      <c r="P28" s="32">
        <f t="shared" si="11"/>
        <v>394120</v>
      </c>
    </row>
    <row r="29" spans="1:16" x14ac:dyDescent="0.25">
      <c r="A29" s="30">
        <f t="shared" si="12"/>
        <v>20</v>
      </c>
      <c r="B29" s="42">
        <f t="shared" si="13"/>
        <v>48044</v>
      </c>
      <c r="C29" s="31">
        <f t="shared" si="14"/>
        <v>48228</v>
      </c>
      <c r="D29" s="30">
        <f t="shared" si="4"/>
        <v>184</v>
      </c>
      <c r="E29" s="35"/>
      <c r="F29" s="32">
        <f t="shared" si="8"/>
        <v>9300000</v>
      </c>
      <c r="G29" s="33"/>
      <c r="H29" s="43">
        <v>2.5</v>
      </c>
      <c r="I29" s="30" t="s">
        <v>64</v>
      </c>
      <c r="J29" s="30" t="s">
        <v>65</v>
      </c>
      <c r="K29" s="30" t="s">
        <v>66</v>
      </c>
      <c r="L29" s="30" t="s">
        <v>67</v>
      </c>
      <c r="M29" s="33"/>
      <c r="N29" s="32">
        <f t="shared" si="9"/>
        <v>300000</v>
      </c>
      <c r="O29" s="32">
        <f t="shared" si="10"/>
        <v>92690</v>
      </c>
      <c r="P29" s="32">
        <f t="shared" si="11"/>
        <v>392690</v>
      </c>
    </row>
    <row r="30" spans="1:16" x14ac:dyDescent="0.25">
      <c r="A30" s="30">
        <f t="shared" si="12"/>
        <v>21</v>
      </c>
      <c r="B30" s="42">
        <f t="shared" si="13"/>
        <v>48228</v>
      </c>
      <c r="C30" s="31">
        <f t="shared" si="14"/>
        <v>48410</v>
      </c>
      <c r="D30" s="30">
        <f t="shared" si="4"/>
        <v>182</v>
      </c>
      <c r="E30" s="35"/>
      <c r="F30" s="32">
        <f t="shared" si="8"/>
        <v>9000000</v>
      </c>
      <c r="G30" s="33"/>
      <c r="H30" s="43">
        <v>2.5</v>
      </c>
      <c r="I30" s="30" t="s">
        <v>64</v>
      </c>
      <c r="J30" s="30" t="s">
        <v>65</v>
      </c>
      <c r="K30" s="30" t="s">
        <v>66</v>
      </c>
      <c r="L30" s="30" t="s">
        <v>67</v>
      </c>
      <c r="M30" s="33"/>
      <c r="N30" s="32">
        <f t="shared" si="9"/>
        <v>300000</v>
      </c>
      <c r="O30" s="32">
        <f t="shared" si="10"/>
        <v>88725</v>
      </c>
      <c r="P30" s="32">
        <f t="shared" si="11"/>
        <v>388725</v>
      </c>
    </row>
    <row r="31" spans="1:16" x14ac:dyDescent="0.25">
      <c r="A31" s="30">
        <f t="shared" si="12"/>
        <v>22</v>
      </c>
      <c r="B31" s="42">
        <f t="shared" si="13"/>
        <v>48410</v>
      </c>
      <c r="C31" s="31">
        <f t="shared" si="14"/>
        <v>48594</v>
      </c>
      <c r="D31" s="30">
        <f t="shared" si="4"/>
        <v>184</v>
      </c>
      <c r="E31" s="35"/>
      <c r="F31" s="32">
        <f t="shared" si="8"/>
        <v>8700000</v>
      </c>
      <c r="G31" s="33"/>
      <c r="H31" s="43">
        <v>2.5</v>
      </c>
      <c r="I31" s="30" t="s">
        <v>64</v>
      </c>
      <c r="J31" s="30" t="s">
        <v>65</v>
      </c>
      <c r="K31" s="30" t="s">
        <v>66</v>
      </c>
      <c r="L31" s="30" t="s">
        <v>67</v>
      </c>
      <c r="M31" s="33"/>
      <c r="N31" s="32">
        <f t="shared" si="9"/>
        <v>300000</v>
      </c>
      <c r="O31" s="32">
        <f t="shared" si="10"/>
        <v>86710</v>
      </c>
      <c r="P31" s="32">
        <f t="shared" si="11"/>
        <v>386710</v>
      </c>
    </row>
    <row r="32" spans="1:16" x14ac:dyDescent="0.25">
      <c r="A32" s="30">
        <f t="shared" si="12"/>
        <v>23</v>
      </c>
      <c r="B32" s="42">
        <f t="shared" si="13"/>
        <v>48594</v>
      </c>
      <c r="C32" s="31">
        <f t="shared" si="14"/>
        <v>48775</v>
      </c>
      <c r="D32" s="30">
        <f t="shared" si="4"/>
        <v>181</v>
      </c>
      <c r="E32" s="35"/>
      <c r="F32" s="32">
        <f t="shared" si="8"/>
        <v>8400000</v>
      </c>
      <c r="G32" s="33"/>
      <c r="H32" s="43">
        <v>2.5</v>
      </c>
      <c r="I32" s="30" t="s">
        <v>64</v>
      </c>
      <c r="J32" s="30" t="s">
        <v>65</v>
      </c>
      <c r="K32" s="30" t="s">
        <v>66</v>
      </c>
      <c r="L32" s="30" t="s">
        <v>67</v>
      </c>
      <c r="M32" s="33"/>
      <c r="N32" s="32">
        <f t="shared" si="9"/>
        <v>300000</v>
      </c>
      <c r="O32" s="32">
        <f t="shared" si="10"/>
        <v>82355</v>
      </c>
      <c r="P32" s="32">
        <f t="shared" si="11"/>
        <v>382355</v>
      </c>
    </row>
    <row r="33" spans="1:16" x14ac:dyDescent="0.25">
      <c r="A33" s="30">
        <f t="shared" si="12"/>
        <v>24</v>
      </c>
      <c r="B33" s="42">
        <f t="shared" si="13"/>
        <v>48775</v>
      </c>
      <c r="C33" s="31">
        <f t="shared" si="14"/>
        <v>48959</v>
      </c>
      <c r="D33" s="30">
        <f t="shared" si="4"/>
        <v>184</v>
      </c>
      <c r="E33" s="35"/>
      <c r="F33" s="32">
        <f t="shared" si="8"/>
        <v>8100000</v>
      </c>
      <c r="G33" s="33"/>
      <c r="H33" s="43">
        <v>2.5</v>
      </c>
      <c r="I33" s="30" t="s">
        <v>64</v>
      </c>
      <c r="J33" s="30" t="s">
        <v>65</v>
      </c>
      <c r="K33" s="30" t="s">
        <v>66</v>
      </c>
      <c r="L33" s="30" t="s">
        <v>67</v>
      </c>
      <c r="M33" s="33"/>
      <c r="N33" s="32">
        <f t="shared" si="9"/>
        <v>300000</v>
      </c>
      <c r="O33" s="32">
        <f t="shared" si="10"/>
        <v>80730</v>
      </c>
      <c r="P33" s="32">
        <f t="shared" si="11"/>
        <v>380730</v>
      </c>
    </row>
    <row r="34" spans="1:16" x14ac:dyDescent="0.25">
      <c r="A34" s="30">
        <f t="shared" si="12"/>
        <v>25</v>
      </c>
      <c r="B34" s="42">
        <f t="shared" si="13"/>
        <v>48959</v>
      </c>
      <c r="C34" s="31">
        <f t="shared" si="14"/>
        <v>49140</v>
      </c>
      <c r="D34" s="30">
        <f t="shared" si="4"/>
        <v>181</v>
      </c>
      <c r="E34" s="35"/>
      <c r="F34" s="32">
        <f t="shared" si="8"/>
        <v>7800000</v>
      </c>
      <c r="G34" s="33"/>
      <c r="H34" s="43">
        <v>2.5</v>
      </c>
      <c r="I34" s="30" t="s">
        <v>64</v>
      </c>
      <c r="J34" s="30" t="s">
        <v>65</v>
      </c>
      <c r="K34" s="30" t="s">
        <v>66</v>
      </c>
      <c r="L34" s="30" t="s">
        <v>67</v>
      </c>
      <c r="M34" s="33"/>
      <c r="N34" s="32">
        <f t="shared" si="9"/>
        <v>300000</v>
      </c>
      <c r="O34" s="32">
        <f t="shared" si="10"/>
        <v>76472.5</v>
      </c>
      <c r="P34" s="32">
        <f t="shared" si="11"/>
        <v>376472.5</v>
      </c>
    </row>
    <row r="35" spans="1:16" x14ac:dyDescent="0.25">
      <c r="A35" s="30">
        <f t="shared" si="12"/>
        <v>26</v>
      </c>
      <c r="B35" s="42">
        <f t="shared" si="13"/>
        <v>49140</v>
      </c>
      <c r="C35" s="31">
        <f t="shared" si="14"/>
        <v>49324</v>
      </c>
      <c r="D35" s="30">
        <f t="shared" si="4"/>
        <v>184</v>
      </c>
      <c r="E35" s="35"/>
      <c r="F35" s="32">
        <f t="shared" si="8"/>
        <v>7500000</v>
      </c>
      <c r="G35" s="33"/>
      <c r="H35" s="43">
        <v>2.5</v>
      </c>
      <c r="I35" s="30" t="s">
        <v>64</v>
      </c>
      <c r="J35" s="30" t="s">
        <v>65</v>
      </c>
      <c r="K35" s="30" t="s">
        <v>66</v>
      </c>
      <c r="L35" s="30" t="s">
        <v>67</v>
      </c>
      <c r="M35" s="33"/>
      <c r="N35" s="32">
        <f t="shared" si="9"/>
        <v>300000</v>
      </c>
      <c r="O35" s="32">
        <f t="shared" si="10"/>
        <v>74750.000000000015</v>
      </c>
      <c r="P35" s="32">
        <f t="shared" si="11"/>
        <v>374750</v>
      </c>
    </row>
    <row r="36" spans="1:16" x14ac:dyDescent="0.25">
      <c r="A36" s="30">
        <f t="shared" si="12"/>
        <v>27</v>
      </c>
      <c r="B36" s="42">
        <f t="shared" si="13"/>
        <v>49324</v>
      </c>
      <c r="C36" s="31">
        <f t="shared" si="14"/>
        <v>49505</v>
      </c>
      <c r="D36" s="30">
        <f t="shared" si="4"/>
        <v>181</v>
      </c>
      <c r="E36" s="35"/>
      <c r="F36" s="32">
        <f t="shared" si="8"/>
        <v>7200000</v>
      </c>
      <c r="G36" s="33"/>
      <c r="H36" s="43">
        <v>2.5</v>
      </c>
      <c r="I36" s="30" t="s">
        <v>64</v>
      </c>
      <c r="J36" s="30" t="s">
        <v>65</v>
      </c>
      <c r="K36" s="30" t="s">
        <v>66</v>
      </c>
      <c r="L36" s="30" t="s">
        <v>67</v>
      </c>
      <c r="M36" s="33"/>
      <c r="N36" s="32">
        <f t="shared" si="9"/>
        <v>300000</v>
      </c>
      <c r="O36" s="32">
        <f t="shared" si="10"/>
        <v>70590</v>
      </c>
      <c r="P36" s="32">
        <f t="shared" si="11"/>
        <v>370590</v>
      </c>
    </row>
    <row r="37" spans="1:16" x14ac:dyDescent="0.25">
      <c r="A37" s="30">
        <f t="shared" si="12"/>
        <v>28</v>
      </c>
      <c r="B37" s="42">
        <f t="shared" si="13"/>
        <v>49505</v>
      </c>
      <c r="C37" s="31">
        <f t="shared" si="14"/>
        <v>49689</v>
      </c>
      <c r="D37" s="30">
        <f t="shared" si="4"/>
        <v>184</v>
      </c>
      <c r="E37" s="35"/>
      <c r="F37" s="32">
        <f t="shared" si="8"/>
        <v>6900000</v>
      </c>
      <c r="G37" s="33"/>
      <c r="H37" s="43">
        <v>2.5</v>
      </c>
      <c r="I37" s="30" t="s">
        <v>64</v>
      </c>
      <c r="J37" s="30" t="s">
        <v>65</v>
      </c>
      <c r="K37" s="30" t="s">
        <v>66</v>
      </c>
      <c r="L37" s="30" t="s">
        <v>67</v>
      </c>
      <c r="M37" s="33"/>
      <c r="N37" s="32">
        <f t="shared" si="9"/>
        <v>300000</v>
      </c>
      <c r="O37" s="32">
        <f t="shared" si="10"/>
        <v>68770.000000000015</v>
      </c>
      <c r="P37" s="32">
        <f t="shared" si="11"/>
        <v>368770</v>
      </c>
    </row>
    <row r="38" spans="1:16" x14ac:dyDescent="0.25">
      <c r="A38" s="30">
        <f t="shared" si="12"/>
        <v>29</v>
      </c>
      <c r="B38" s="42">
        <f t="shared" si="13"/>
        <v>49689</v>
      </c>
      <c r="C38" s="31">
        <f t="shared" si="14"/>
        <v>49871</v>
      </c>
      <c r="D38" s="30">
        <f t="shared" si="4"/>
        <v>182</v>
      </c>
      <c r="E38" s="35"/>
      <c r="F38" s="32">
        <f t="shared" si="8"/>
        <v>6600000</v>
      </c>
      <c r="G38" s="33"/>
      <c r="H38" s="43">
        <v>2.5</v>
      </c>
      <c r="I38" s="30" t="s">
        <v>64</v>
      </c>
      <c r="J38" s="30" t="s">
        <v>65</v>
      </c>
      <c r="K38" s="30" t="s">
        <v>66</v>
      </c>
      <c r="L38" s="30" t="s">
        <v>67</v>
      </c>
      <c r="M38" s="33"/>
      <c r="N38" s="32">
        <f t="shared" si="9"/>
        <v>300000</v>
      </c>
      <c r="O38" s="32">
        <f t="shared" si="10"/>
        <v>65065.000000000007</v>
      </c>
      <c r="P38" s="32">
        <f t="shared" si="11"/>
        <v>365065</v>
      </c>
    </row>
    <row r="39" spans="1:16" x14ac:dyDescent="0.25">
      <c r="A39" s="30">
        <f t="shared" si="12"/>
        <v>30</v>
      </c>
      <c r="B39" s="42">
        <f t="shared" si="13"/>
        <v>49871</v>
      </c>
      <c r="C39" s="31">
        <f t="shared" si="14"/>
        <v>50055</v>
      </c>
      <c r="D39" s="30">
        <f t="shared" si="4"/>
        <v>184</v>
      </c>
      <c r="E39" s="35"/>
      <c r="F39" s="32">
        <f t="shared" si="8"/>
        <v>6300000</v>
      </c>
      <c r="G39" s="33"/>
      <c r="H39" s="43">
        <v>2.5</v>
      </c>
      <c r="I39" s="30" t="s">
        <v>64</v>
      </c>
      <c r="J39" s="30" t="s">
        <v>65</v>
      </c>
      <c r="K39" s="30" t="s">
        <v>66</v>
      </c>
      <c r="L39" s="30" t="s">
        <v>67</v>
      </c>
      <c r="M39" s="33"/>
      <c r="N39" s="32">
        <f t="shared" si="9"/>
        <v>300000</v>
      </c>
      <c r="O39" s="32">
        <f t="shared" si="10"/>
        <v>62790.000000000007</v>
      </c>
      <c r="P39" s="32">
        <f t="shared" si="11"/>
        <v>362790</v>
      </c>
    </row>
    <row r="40" spans="1:16" x14ac:dyDescent="0.25">
      <c r="A40" s="30">
        <f t="shared" si="12"/>
        <v>31</v>
      </c>
      <c r="B40" s="42">
        <f t="shared" si="13"/>
        <v>50055</v>
      </c>
      <c r="C40" s="31">
        <f t="shared" si="14"/>
        <v>50236</v>
      </c>
      <c r="D40" s="30">
        <f t="shared" si="4"/>
        <v>181</v>
      </c>
      <c r="E40" s="35"/>
      <c r="F40" s="32">
        <f t="shared" si="8"/>
        <v>6000000</v>
      </c>
      <c r="G40" s="33"/>
      <c r="H40" s="43">
        <v>2.5</v>
      </c>
      <c r="I40" s="30" t="s">
        <v>64</v>
      </c>
      <c r="J40" s="30" t="s">
        <v>65</v>
      </c>
      <c r="K40" s="30" t="s">
        <v>66</v>
      </c>
      <c r="L40" s="30" t="s">
        <v>67</v>
      </c>
      <c r="M40" s="33"/>
      <c r="N40" s="32">
        <f t="shared" si="9"/>
        <v>300000</v>
      </c>
      <c r="O40" s="32">
        <f t="shared" si="10"/>
        <v>58825.000000000007</v>
      </c>
      <c r="P40" s="32">
        <f t="shared" si="11"/>
        <v>358825</v>
      </c>
    </row>
    <row r="41" spans="1:16" x14ac:dyDescent="0.25">
      <c r="A41" s="30">
        <f t="shared" si="12"/>
        <v>32</v>
      </c>
      <c r="B41" s="42">
        <f t="shared" si="13"/>
        <v>50236</v>
      </c>
      <c r="C41" s="31">
        <f t="shared" si="14"/>
        <v>50420</v>
      </c>
      <c r="D41" s="30">
        <f t="shared" si="4"/>
        <v>184</v>
      </c>
      <c r="E41" s="35"/>
      <c r="F41" s="32">
        <f t="shared" si="8"/>
        <v>5700000</v>
      </c>
      <c r="G41" s="33"/>
      <c r="H41" s="43">
        <v>2.5</v>
      </c>
      <c r="I41" s="30" t="s">
        <v>64</v>
      </c>
      <c r="J41" s="30" t="s">
        <v>65</v>
      </c>
      <c r="K41" s="30" t="s">
        <v>66</v>
      </c>
      <c r="L41" s="30" t="s">
        <v>67</v>
      </c>
      <c r="M41" s="33"/>
      <c r="N41" s="32">
        <f t="shared" si="9"/>
        <v>300000</v>
      </c>
      <c r="O41" s="32">
        <f t="shared" si="10"/>
        <v>56810</v>
      </c>
      <c r="P41" s="32">
        <f t="shared" si="11"/>
        <v>356810</v>
      </c>
    </row>
    <row r="42" spans="1:16" x14ac:dyDescent="0.25">
      <c r="A42" s="30">
        <f t="shared" si="12"/>
        <v>33</v>
      </c>
      <c r="B42" s="42">
        <f t="shared" si="13"/>
        <v>50420</v>
      </c>
      <c r="C42" s="31">
        <f t="shared" ref="C42:C56" si="15">DATE(YEAR(B42),MONTH(B42)+6,DAY(B42))</f>
        <v>50601</v>
      </c>
      <c r="D42" s="30">
        <f t="shared" si="4"/>
        <v>181</v>
      </c>
      <c r="E42" s="44"/>
      <c r="F42" s="32">
        <f t="shared" si="8"/>
        <v>5400000</v>
      </c>
      <c r="G42" s="33"/>
      <c r="H42" s="43">
        <v>2.5</v>
      </c>
      <c r="I42" s="30" t="s">
        <v>64</v>
      </c>
      <c r="J42" s="30" t="s">
        <v>65</v>
      </c>
      <c r="K42" s="30" t="s">
        <v>66</v>
      </c>
      <c r="L42" s="30" t="s">
        <v>67</v>
      </c>
      <c r="M42" s="33"/>
      <c r="N42" s="32">
        <f t="shared" si="9"/>
        <v>300000</v>
      </c>
      <c r="O42" s="32">
        <f t="shared" si="10"/>
        <v>52942.5</v>
      </c>
      <c r="P42" s="32">
        <f t="shared" si="11"/>
        <v>352942.5</v>
      </c>
    </row>
    <row r="43" spans="1:16" x14ac:dyDescent="0.25">
      <c r="A43" s="30">
        <f t="shared" si="12"/>
        <v>34</v>
      </c>
      <c r="B43" s="42">
        <f t="shared" si="13"/>
        <v>50601</v>
      </c>
      <c r="C43" s="31">
        <f t="shared" si="15"/>
        <v>50785</v>
      </c>
      <c r="D43" s="30">
        <f t="shared" si="4"/>
        <v>184</v>
      </c>
      <c r="E43" s="44"/>
      <c r="F43" s="32">
        <f t="shared" si="8"/>
        <v>5100000</v>
      </c>
      <c r="G43" s="33"/>
      <c r="H43" s="43">
        <v>2.5</v>
      </c>
      <c r="I43" s="30" t="s">
        <v>64</v>
      </c>
      <c r="J43" s="30" t="s">
        <v>65</v>
      </c>
      <c r="K43" s="30" t="s">
        <v>66</v>
      </c>
      <c r="L43" s="30" t="s">
        <v>67</v>
      </c>
      <c r="M43" s="33"/>
      <c r="N43" s="32">
        <f t="shared" si="9"/>
        <v>300000</v>
      </c>
      <c r="O43" s="32">
        <f t="shared" si="10"/>
        <v>50830</v>
      </c>
      <c r="P43" s="32">
        <f t="shared" si="11"/>
        <v>350830</v>
      </c>
    </row>
    <row r="44" spans="1:16" x14ac:dyDescent="0.25">
      <c r="A44" s="30">
        <f t="shared" si="12"/>
        <v>35</v>
      </c>
      <c r="B44" s="42">
        <f t="shared" si="13"/>
        <v>50785</v>
      </c>
      <c r="C44" s="31">
        <f t="shared" si="15"/>
        <v>50966</v>
      </c>
      <c r="D44" s="30">
        <f t="shared" si="4"/>
        <v>181</v>
      </c>
      <c r="E44" s="44"/>
      <c r="F44" s="32">
        <f t="shared" si="8"/>
        <v>4800000</v>
      </c>
      <c r="G44" s="33"/>
      <c r="H44" s="43">
        <v>2.5</v>
      </c>
      <c r="I44" s="30" t="s">
        <v>64</v>
      </c>
      <c r="J44" s="30" t="s">
        <v>65</v>
      </c>
      <c r="K44" s="30" t="s">
        <v>66</v>
      </c>
      <c r="L44" s="30" t="s">
        <v>67</v>
      </c>
      <c r="M44" s="33"/>
      <c r="N44" s="32">
        <f t="shared" si="9"/>
        <v>300000</v>
      </c>
      <c r="O44" s="32">
        <f t="shared" si="10"/>
        <v>47060</v>
      </c>
      <c r="P44" s="32">
        <f t="shared" si="11"/>
        <v>347060</v>
      </c>
    </row>
    <row r="45" spans="1:16" x14ac:dyDescent="0.25">
      <c r="A45" s="30">
        <f t="shared" si="12"/>
        <v>36</v>
      </c>
      <c r="B45" s="42">
        <f t="shared" si="13"/>
        <v>50966</v>
      </c>
      <c r="C45" s="31">
        <f t="shared" si="15"/>
        <v>51150</v>
      </c>
      <c r="D45" s="30">
        <f t="shared" si="4"/>
        <v>184</v>
      </c>
      <c r="E45" s="44"/>
      <c r="F45" s="32">
        <f t="shared" si="8"/>
        <v>4500000</v>
      </c>
      <c r="G45" s="33"/>
      <c r="H45" s="43">
        <v>2.5</v>
      </c>
      <c r="I45" s="30" t="s">
        <v>64</v>
      </c>
      <c r="J45" s="30" t="s">
        <v>65</v>
      </c>
      <c r="K45" s="30" t="s">
        <v>66</v>
      </c>
      <c r="L45" s="30" t="s">
        <v>67</v>
      </c>
      <c r="M45" s="33"/>
      <c r="N45" s="32">
        <f t="shared" si="9"/>
        <v>300000</v>
      </c>
      <c r="O45" s="32">
        <f t="shared" si="10"/>
        <v>44850</v>
      </c>
      <c r="P45" s="32">
        <f t="shared" si="11"/>
        <v>344850</v>
      </c>
    </row>
    <row r="46" spans="1:16" x14ac:dyDescent="0.25">
      <c r="A46" s="30">
        <f t="shared" si="12"/>
        <v>37</v>
      </c>
      <c r="B46" s="42">
        <f t="shared" si="13"/>
        <v>51150</v>
      </c>
      <c r="C46" s="31">
        <f t="shared" si="15"/>
        <v>51332</v>
      </c>
      <c r="D46" s="30">
        <f t="shared" si="4"/>
        <v>182</v>
      </c>
      <c r="E46" s="44"/>
      <c r="F46" s="32">
        <f t="shared" si="8"/>
        <v>4200000</v>
      </c>
      <c r="G46" s="33"/>
      <c r="H46" s="43">
        <v>2.5</v>
      </c>
      <c r="I46" s="30" t="s">
        <v>64</v>
      </c>
      <c r="J46" s="30" t="s">
        <v>65</v>
      </c>
      <c r="K46" s="30" t="s">
        <v>66</v>
      </c>
      <c r="L46" s="30" t="s">
        <v>67</v>
      </c>
      <c r="M46" s="33"/>
      <c r="N46" s="32">
        <f t="shared" si="9"/>
        <v>300000</v>
      </c>
      <c r="O46" s="32">
        <f t="shared" si="10"/>
        <v>41405</v>
      </c>
      <c r="P46" s="32">
        <f t="shared" si="11"/>
        <v>341405</v>
      </c>
    </row>
    <row r="47" spans="1:16" x14ac:dyDescent="0.25">
      <c r="A47" s="30">
        <f t="shared" si="12"/>
        <v>38</v>
      </c>
      <c r="B47" s="42">
        <f t="shared" si="13"/>
        <v>51332</v>
      </c>
      <c r="C47" s="31">
        <f t="shared" si="15"/>
        <v>51516</v>
      </c>
      <c r="D47" s="30">
        <f t="shared" si="4"/>
        <v>184</v>
      </c>
      <c r="E47" s="44"/>
      <c r="F47" s="32">
        <f t="shared" si="8"/>
        <v>3900000</v>
      </c>
      <c r="G47" s="33"/>
      <c r="H47" s="43">
        <v>2.5</v>
      </c>
      <c r="I47" s="30" t="s">
        <v>64</v>
      </c>
      <c r="J47" s="30" t="s">
        <v>65</v>
      </c>
      <c r="K47" s="30" t="s">
        <v>66</v>
      </c>
      <c r="L47" s="30" t="s">
        <v>67</v>
      </c>
      <c r="M47" s="33"/>
      <c r="N47" s="32">
        <f t="shared" si="9"/>
        <v>300000</v>
      </c>
      <c r="O47" s="32">
        <f t="shared" si="10"/>
        <v>38870</v>
      </c>
      <c r="P47" s="32">
        <f t="shared" si="11"/>
        <v>338870</v>
      </c>
    </row>
    <row r="48" spans="1:16" x14ac:dyDescent="0.25">
      <c r="A48" s="30">
        <f t="shared" si="12"/>
        <v>39</v>
      </c>
      <c r="B48" s="42">
        <f t="shared" si="13"/>
        <v>51516</v>
      </c>
      <c r="C48" s="31">
        <f t="shared" si="15"/>
        <v>51697</v>
      </c>
      <c r="D48" s="30">
        <f t="shared" si="4"/>
        <v>181</v>
      </c>
      <c r="E48" s="44"/>
      <c r="F48" s="32">
        <f t="shared" si="8"/>
        <v>3600000</v>
      </c>
      <c r="G48" s="33"/>
      <c r="H48" s="43">
        <v>2.5</v>
      </c>
      <c r="I48" s="30" t="s">
        <v>64</v>
      </c>
      <c r="J48" s="30" t="s">
        <v>65</v>
      </c>
      <c r="K48" s="30" t="s">
        <v>66</v>
      </c>
      <c r="L48" s="30" t="s">
        <v>67</v>
      </c>
      <c r="M48" s="33"/>
      <c r="N48" s="32">
        <f t="shared" si="9"/>
        <v>300000</v>
      </c>
      <c r="O48" s="32">
        <f t="shared" si="10"/>
        <v>35295</v>
      </c>
      <c r="P48" s="32">
        <f t="shared" si="11"/>
        <v>335295</v>
      </c>
    </row>
    <row r="49" spans="1:16" x14ac:dyDescent="0.25">
      <c r="A49" s="30">
        <f t="shared" si="12"/>
        <v>40</v>
      </c>
      <c r="B49" s="42">
        <f t="shared" si="13"/>
        <v>51697</v>
      </c>
      <c r="C49" s="31">
        <f t="shared" si="15"/>
        <v>51881</v>
      </c>
      <c r="D49" s="30">
        <f t="shared" si="4"/>
        <v>184</v>
      </c>
      <c r="E49" s="44"/>
      <c r="F49" s="32">
        <f t="shared" si="8"/>
        <v>3300000</v>
      </c>
      <c r="G49" s="33"/>
      <c r="H49" s="43">
        <v>2.5</v>
      </c>
      <c r="I49" s="30" t="s">
        <v>64</v>
      </c>
      <c r="J49" s="30" t="s">
        <v>65</v>
      </c>
      <c r="K49" s="30" t="s">
        <v>66</v>
      </c>
      <c r="L49" s="30" t="s">
        <v>67</v>
      </c>
      <c r="M49" s="33"/>
      <c r="N49" s="32">
        <f t="shared" si="9"/>
        <v>300000</v>
      </c>
      <c r="O49" s="32">
        <f t="shared" si="10"/>
        <v>32890.000000000007</v>
      </c>
      <c r="P49" s="32">
        <f t="shared" si="11"/>
        <v>332890</v>
      </c>
    </row>
    <row r="50" spans="1:16" x14ac:dyDescent="0.25">
      <c r="A50" s="30">
        <f t="shared" si="12"/>
        <v>41</v>
      </c>
      <c r="B50" s="42">
        <f t="shared" si="13"/>
        <v>51881</v>
      </c>
      <c r="C50" s="31">
        <f t="shared" si="15"/>
        <v>52062</v>
      </c>
      <c r="D50" s="30">
        <f t="shared" si="4"/>
        <v>181</v>
      </c>
      <c r="E50" s="44"/>
      <c r="F50" s="32">
        <f t="shared" si="8"/>
        <v>3000000</v>
      </c>
      <c r="G50" s="33"/>
      <c r="H50" s="43">
        <v>2.5</v>
      </c>
      <c r="I50" s="30" t="s">
        <v>64</v>
      </c>
      <c r="J50" s="30" t="s">
        <v>65</v>
      </c>
      <c r="K50" s="30" t="s">
        <v>66</v>
      </c>
      <c r="L50" s="30" t="s">
        <v>67</v>
      </c>
      <c r="M50" s="33"/>
      <c r="N50" s="32">
        <f t="shared" si="9"/>
        <v>300000</v>
      </c>
      <c r="O50" s="32">
        <f t="shared" si="10"/>
        <v>29412.500000000004</v>
      </c>
      <c r="P50" s="32">
        <f t="shared" si="11"/>
        <v>329412.5</v>
      </c>
    </row>
    <row r="51" spans="1:16" x14ac:dyDescent="0.25">
      <c r="A51" s="30">
        <f t="shared" si="12"/>
        <v>42</v>
      </c>
      <c r="B51" s="42">
        <f t="shared" si="13"/>
        <v>52062</v>
      </c>
      <c r="C51" s="31">
        <f t="shared" si="15"/>
        <v>52246</v>
      </c>
      <c r="D51" s="30">
        <f t="shared" si="4"/>
        <v>184</v>
      </c>
      <c r="E51" s="44"/>
      <c r="F51" s="32">
        <f t="shared" si="8"/>
        <v>2700000</v>
      </c>
      <c r="G51" s="33"/>
      <c r="H51" s="43">
        <v>2.5</v>
      </c>
      <c r="I51" s="30" t="s">
        <v>64</v>
      </c>
      <c r="J51" s="30" t="s">
        <v>65</v>
      </c>
      <c r="K51" s="30" t="s">
        <v>66</v>
      </c>
      <c r="L51" s="30" t="s">
        <v>67</v>
      </c>
      <c r="M51" s="33"/>
      <c r="N51" s="32">
        <f t="shared" si="9"/>
        <v>300000</v>
      </c>
      <c r="O51" s="32">
        <f t="shared" si="10"/>
        <v>26910</v>
      </c>
      <c r="P51" s="32">
        <f t="shared" si="11"/>
        <v>326910</v>
      </c>
    </row>
    <row r="52" spans="1:16" x14ac:dyDescent="0.25">
      <c r="A52" s="30">
        <f t="shared" si="12"/>
        <v>43</v>
      </c>
      <c r="B52" s="42">
        <f t="shared" si="13"/>
        <v>52246</v>
      </c>
      <c r="C52" s="31">
        <f t="shared" si="15"/>
        <v>52427</v>
      </c>
      <c r="D52" s="30">
        <f t="shared" si="4"/>
        <v>181</v>
      </c>
      <c r="E52" s="44"/>
      <c r="F52" s="32">
        <f t="shared" si="8"/>
        <v>2400000</v>
      </c>
      <c r="G52" s="33"/>
      <c r="H52" s="43">
        <v>2.5</v>
      </c>
      <c r="I52" s="30" t="s">
        <v>64</v>
      </c>
      <c r="J52" s="30" t="s">
        <v>65</v>
      </c>
      <c r="K52" s="30" t="s">
        <v>66</v>
      </c>
      <c r="L52" s="30" t="s">
        <v>67</v>
      </c>
      <c r="M52" s="33"/>
      <c r="N52" s="32">
        <f t="shared" si="9"/>
        <v>300000</v>
      </c>
      <c r="O52" s="32">
        <f t="shared" si="10"/>
        <v>23530</v>
      </c>
      <c r="P52" s="32">
        <f t="shared" si="11"/>
        <v>323530</v>
      </c>
    </row>
    <row r="53" spans="1:16" x14ac:dyDescent="0.25">
      <c r="A53" s="30">
        <f t="shared" si="12"/>
        <v>44</v>
      </c>
      <c r="B53" s="42">
        <f t="shared" si="13"/>
        <v>52427</v>
      </c>
      <c r="C53" s="31">
        <f t="shared" si="15"/>
        <v>52611</v>
      </c>
      <c r="D53" s="30">
        <f t="shared" si="4"/>
        <v>184</v>
      </c>
      <c r="E53" s="44"/>
      <c r="F53" s="32">
        <f t="shared" si="8"/>
        <v>2100000</v>
      </c>
      <c r="G53" s="33"/>
      <c r="H53" s="43">
        <v>2.5</v>
      </c>
      <c r="I53" s="30" t="s">
        <v>64</v>
      </c>
      <c r="J53" s="30" t="s">
        <v>65</v>
      </c>
      <c r="K53" s="30" t="s">
        <v>66</v>
      </c>
      <c r="L53" s="30" t="s">
        <v>67</v>
      </c>
      <c r="M53" s="33"/>
      <c r="N53" s="32">
        <f t="shared" si="9"/>
        <v>300000</v>
      </c>
      <c r="O53" s="32">
        <f t="shared" si="10"/>
        <v>20930</v>
      </c>
      <c r="P53" s="32">
        <f t="shared" si="11"/>
        <v>320930</v>
      </c>
    </row>
    <row r="54" spans="1:16" x14ac:dyDescent="0.25">
      <c r="A54" s="30">
        <f t="shared" si="12"/>
        <v>45</v>
      </c>
      <c r="B54" s="42">
        <f t="shared" si="13"/>
        <v>52611</v>
      </c>
      <c r="C54" s="31">
        <f t="shared" si="15"/>
        <v>52793</v>
      </c>
      <c r="D54" s="30">
        <f t="shared" si="4"/>
        <v>182</v>
      </c>
      <c r="E54" s="44"/>
      <c r="F54" s="32">
        <f t="shared" si="8"/>
        <v>1800000</v>
      </c>
      <c r="G54" s="33"/>
      <c r="H54" s="43">
        <v>2.5</v>
      </c>
      <c r="I54" s="30" t="s">
        <v>64</v>
      </c>
      <c r="J54" s="30" t="s">
        <v>65</v>
      </c>
      <c r="K54" s="30" t="s">
        <v>66</v>
      </c>
      <c r="L54" s="30" t="s">
        <v>67</v>
      </c>
      <c r="M54" s="33"/>
      <c r="N54" s="32">
        <f t="shared" si="9"/>
        <v>300000</v>
      </c>
      <c r="O54" s="32">
        <f t="shared" si="10"/>
        <v>17745</v>
      </c>
      <c r="P54" s="32">
        <f t="shared" si="11"/>
        <v>317745</v>
      </c>
    </row>
    <row r="55" spans="1:16" x14ac:dyDescent="0.25">
      <c r="A55" s="30">
        <f t="shared" si="12"/>
        <v>46</v>
      </c>
      <c r="B55" s="42">
        <f t="shared" si="13"/>
        <v>52793</v>
      </c>
      <c r="C55" s="31">
        <f t="shared" si="15"/>
        <v>52977</v>
      </c>
      <c r="D55" s="30">
        <f t="shared" si="4"/>
        <v>184</v>
      </c>
      <c r="E55" s="44"/>
      <c r="F55" s="32">
        <f t="shared" si="8"/>
        <v>1500000</v>
      </c>
      <c r="G55" s="33"/>
      <c r="H55" s="43">
        <v>2.5</v>
      </c>
      <c r="I55" s="30" t="s">
        <v>64</v>
      </c>
      <c r="J55" s="30" t="s">
        <v>65</v>
      </c>
      <c r="K55" s="30" t="s">
        <v>66</v>
      </c>
      <c r="L55" s="30" t="s">
        <v>67</v>
      </c>
      <c r="M55" s="33"/>
      <c r="N55" s="32">
        <f t="shared" si="9"/>
        <v>300000</v>
      </c>
      <c r="O55" s="32">
        <f t="shared" si="10"/>
        <v>14950.000000000002</v>
      </c>
      <c r="P55" s="32">
        <f t="shared" si="11"/>
        <v>314950</v>
      </c>
    </row>
    <row r="56" spans="1:16" x14ac:dyDescent="0.25">
      <c r="A56" s="30">
        <f t="shared" si="12"/>
        <v>47</v>
      </c>
      <c r="B56" s="42">
        <f t="shared" si="13"/>
        <v>52977</v>
      </c>
      <c r="C56" s="31">
        <f t="shared" si="15"/>
        <v>53158</v>
      </c>
      <c r="D56" s="30">
        <f t="shared" si="4"/>
        <v>181</v>
      </c>
      <c r="E56" s="44"/>
      <c r="F56" s="32">
        <f t="shared" si="8"/>
        <v>1200000</v>
      </c>
      <c r="G56" s="33"/>
      <c r="H56" s="43">
        <v>2.5</v>
      </c>
      <c r="I56" s="30" t="s">
        <v>64</v>
      </c>
      <c r="J56" s="30" t="s">
        <v>65</v>
      </c>
      <c r="K56" s="30" t="s">
        <v>66</v>
      </c>
      <c r="L56" s="30" t="s">
        <v>67</v>
      </c>
      <c r="M56" s="33"/>
      <c r="N56" s="32">
        <f t="shared" si="9"/>
        <v>300000</v>
      </c>
      <c r="O56" s="32">
        <f t="shared" si="10"/>
        <v>11765</v>
      </c>
      <c r="P56" s="32">
        <f t="shared" si="11"/>
        <v>311765</v>
      </c>
    </row>
    <row r="57" spans="1:16" x14ac:dyDescent="0.25">
      <c r="A57" s="30">
        <f t="shared" si="12"/>
        <v>48</v>
      </c>
      <c r="B57" s="42">
        <f t="shared" si="13"/>
        <v>53158</v>
      </c>
      <c r="C57" s="31">
        <f t="shared" ref="C57:C59" si="16">DATE(YEAR(B57),MONTH(B57)+6,DAY(B57))</f>
        <v>53342</v>
      </c>
      <c r="D57" s="30">
        <f t="shared" si="4"/>
        <v>184</v>
      </c>
      <c r="E57" s="44"/>
      <c r="F57" s="32">
        <f t="shared" si="8"/>
        <v>900000</v>
      </c>
      <c r="G57" s="33"/>
      <c r="H57" s="43">
        <v>2.5</v>
      </c>
      <c r="I57" s="30" t="s">
        <v>64</v>
      </c>
      <c r="J57" s="30" t="s">
        <v>65</v>
      </c>
      <c r="K57" s="30" t="s">
        <v>66</v>
      </c>
      <c r="L57" s="30" t="s">
        <v>67</v>
      </c>
      <c r="M57" s="33"/>
      <c r="N57" s="32">
        <f t="shared" si="9"/>
        <v>300000</v>
      </c>
      <c r="O57" s="32">
        <f t="shared" si="10"/>
        <v>8970</v>
      </c>
      <c r="P57" s="32">
        <f t="shared" si="11"/>
        <v>308970</v>
      </c>
    </row>
    <row r="58" spans="1:16" x14ac:dyDescent="0.25">
      <c r="A58" s="30">
        <f t="shared" si="12"/>
        <v>49</v>
      </c>
      <c r="B58" s="42">
        <f t="shared" si="13"/>
        <v>53342</v>
      </c>
      <c r="C58" s="31">
        <f t="shared" si="16"/>
        <v>53523</v>
      </c>
      <c r="D58" s="30">
        <f t="shared" si="4"/>
        <v>181</v>
      </c>
      <c r="E58" s="44"/>
      <c r="F58" s="32">
        <f t="shared" si="8"/>
        <v>600000</v>
      </c>
      <c r="G58" s="33"/>
      <c r="H58" s="43">
        <v>2.5</v>
      </c>
      <c r="I58" s="30" t="s">
        <v>64</v>
      </c>
      <c r="J58" s="30" t="s">
        <v>65</v>
      </c>
      <c r="K58" s="30" t="s">
        <v>66</v>
      </c>
      <c r="L58" s="30" t="s">
        <v>67</v>
      </c>
      <c r="M58" s="33"/>
      <c r="N58" s="32">
        <f t="shared" si="9"/>
        <v>300000</v>
      </c>
      <c r="O58" s="32">
        <f t="shared" si="10"/>
        <v>5882.5</v>
      </c>
      <c r="P58" s="32">
        <f t="shared" si="11"/>
        <v>305882.5</v>
      </c>
    </row>
    <row r="59" spans="1:16" x14ac:dyDescent="0.25">
      <c r="A59" s="30">
        <f t="shared" si="12"/>
        <v>50</v>
      </c>
      <c r="B59" s="42">
        <f t="shared" si="13"/>
        <v>53523</v>
      </c>
      <c r="C59" s="31">
        <f t="shared" si="16"/>
        <v>53707</v>
      </c>
      <c r="D59" s="30">
        <f t="shared" si="4"/>
        <v>184</v>
      </c>
      <c r="E59" s="44"/>
      <c r="F59" s="32">
        <f t="shared" si="8"/>
        <v>300000</v>
      </c>
      <c r="G59" s="33"/>
      <c r="H59" s="43">
        <v>2.5</v>
      </c>
      <c r="I59" s="30" t="s">
        <v>64</v>
      </c>
      <c r="J59" s="30" t="s">
        <v>65</v>
      </c>
      <c r="K59" s="30" t="s">
        <v>66</v>
      </c>
      <c r="L59" s="30" t="s">
        <v>67</v>
      </c>
      <c r="M59" s="33"/>
      <c r="N59" s="32">
        <f t="shared" si="9"/>
        <v>300000</v>
      </c>
      <c r="O59" s="32">
        <f t="shared" si="10"/>
        <v>2990</v>
      </c>
      <c r="P59" s="32">
        <f t="shared" si="11"/>
        <v>302990</v>
      </c>
    </row>
    <row r="60" spans="1:16" x14ac:dyDescent="0.25">
      <c r="A60" s="45" t="s">
        <v>68</v>
      </c>
      <c r="B60" s="46"/>
      <c r="C60" s="46"/>
      <c r="D60" s="47"/>
      <c r="E60" s="48">
        <f>SUM(E9:E59)</f>
        <v>12000000</v>
      </c>
      <c r="F60" s="47"/>
      <c r="G60" s="46"/>
      <c r="H60" s="49">
        <f>SUM(H20:H59)</f>
        <v>100</v>
      </c>
      <c r="I60" s="47"/>
      <c r="J60" s="50"/>
      <c r="K60" s="50"/>
      <c r="L60" s="50"/>
      <c r="M60" s="46"/>
      <c r="N60" s="48">
        <f>SUM(N9:N59)</f>
        <v>12000000</v>
      </c>
      <c r="O60" s="48">
        <f t="shared" ref="O60:P60" si="17">SUM(O9:O59)</f>
        <v>3302792.5</v>
      </c>
      <c r="P60" s="48">
        <f t="shared" si="17"/>
        <v>15302792.5</v>
      </c>
    </row>
  </sheetData>
  <mergeCells count="3">
    <mergeCell ref="A5:P5"/>
    <mergeCell ref="A4:P4"/>
    <mergeCell ref="A3:P3"/>
  </mergeCells>
  <printOptions horizontalCentered="1"/>
  <pageMargins left="0.47244094488188981" right="0.47244094488188981" top="0.78740157480314965" bottom="0.59055118110236227" header="0.31496062992125984" footer="0.31496062992125984"/>
  <pageSetup paperSize="9" scale="84" fitToHeight="10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E21" sqref="E21"/>
    </sheetView>
  </sheetViews>
  <sheetFormatPr defaultColWidth="9.140625" defaultRowHeight="15.75" x14ac:dyDescent="0.25"/>
  <cols>
    <col min="1" max="1" width="3.5703125" style="1" bestFit="1" customWidth="1"/>
    <col min="2" max="2" width="23.28515625" style="1" bestFit="1" customWidth="1"/>
    <col min="3" max="3" width="13.5703125" style="1" bestFit="1" customWidth="1"/>
    <col min="4" max="4" width="22.42578125" style="1" bestFit="1" customWidth="1"/>
    <col min="5" max="5" width="18.140625" style="1" bestFit="1" customWidth="1"/>
    <col min="6" max="6" width="11.85546875" style="1" bestFit="1" customWidth="1"/>
    <col min="7" max="7" width="28.28515625" style="1" bestFit="1" customWidth="1"/>
    <col min="8" max="16384" width="9.140625" style="1"/>
  </cols>
  <sheetData>
    <row r="1" spans="1:7" x14ac:dyDescent="0.25">
      <c r="A1" s="1" t="s">
        <v>74</v>
      </c>
      <c r="B1" s="1" t="s">
        <v>75</v>
      </c>
      <c r="C1" s="1" t="s">
        <v>76</v>
      </c>
      <c r="D1" s="183" t="s">
        <v>77</v>
      </c>
      <c r="E1" s="183"/>
      <c r="F1" s="1" t="s">
        <v>81</v>
      </c>
      <c r="G1" s="1" t="s">
        <v>82</v>
      </c>
    </row>
    <row r="2" spans="1:7" x14ac:dyDescent="0.25">
      <c r="D2" s="183" t="s">
        <v>78</v>
      </c>
      <c r="E2" s="183"/>
    </row>
    <row r="3" spans="1:7" x14ac:dyDescent="0.25">
      <c r="D3" s="1" t="s">
        <v>79</v>
      </c>
      <c r="E3" s="1" t="s">
        <v>80</v>
      </c>
    </row>
  </sheetData>
  <mergeCells count="2">
    <mergeCell ref="D2:E2"/>
    <mergeCell ref="D1:E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G47"/>
  <sheetViews>
    <sheetView zoomScale="85" zoomScaleNormal="85" workbookViewId="0">
      <selection activeCell="A4" sqref="A4:K4"/>
    </sheetView>
  </sheetViews>
  <sheetFormatPr defaultColWidth="9.140625" defaultRowHeight="12.75" x14ac:dyDescent="0.2"/>
  <cols>
    <col min="1" max="1" width="5.42578125" style="96" customWidth="1"/>
    <col min="2" max="2" width="58.28515625" style="96" customWidth="1"/>
    <col min="3" max="3" width="17.28515625" style="97" customWidth="1"/>
    <col min="4" max="4" width="15.28515625" style="97" customWidth="1"/>
    <col min="5" max="5" width="14.7109375" style="97" bestFit="1" customWidth="1"/>
    <col min="6" max="6" width="11.85546875" style="97" bestFit="1" customWidth="1"/>
    <col min="7" max="7" width="11.42578125" style="97" customWidth="1"/>
    <col min="8" max="8" width="12.28515625" style="97" customWidth="1"/>
    <col min="9" max="9" width="11" style="97" hidden="1" customWidth="1"/>
    <col min="10" max="10" width="12.7109375" style="97" bestFit="1" customWidth="1"/>
    <col min="11" max="11" width="16.85546875" style="97" customWidth="1"/>
    <col min="12" max="16384" width="9.140625" style="96"/>
  </cols>
  <sheetData>
    <row r="1" spans="1:16" s="92" customFormat="1" ht="7.5" customHeight="1" x14ac:dyDescent="0.2">
      <c r="B1" s="93"/>
      <c r="C1" s="94"/>
      <c r="D1" s="94"/>
      <c r="E1" s="94"/>
      <c r="F1" s="94"/>
      <c r="G1" s="94"/>
      <c r="H1" s="94"/>
      <c r="I1" s="94"/>
      <c r="J1" s="95"/>
      <c r="K1" s="95"/>
    </row>
    <row r="2" spans="1:16" s="92" customFormat="1" ht="14.25" customHeight="1" x14ac:dyDescent="0.2">
      <c r="A2" s="185" t="s">
        <v>32</v>
      </c>
      <c r="B2" s="185"/>
      <c r="C2" s="185"/>
      <c r="D2" s="185"/>
      <c r="E2" s="185"/>
      <c r="F2" s="185"/>
      <c r="G2" s="185"/>
      <c r="H2" s="185"/>
      <c r="I2" s="185"/>
      <c r="J2" s="185"/>
      <c r="K2" s="185"/>
    </row>
    <row r="3" spans="1:16" ht="18.75" x14ac:dyDescent="0.2">
      <c r="A3" s="186" t="s">
        <v>225</v>
      </c>
      <c r="B3" s="186"/>
      <c r="C3" s="186"/>
      <c r="D3" s="186"/>
      <c r="E3" s="186"/>
      <c r="F3" s="186"/>
      <c r="G3" s="186"/>
      <c r="H3" s="186"/>
      <c r="I3" s="186"/>
      <c r="J3" s="186"/>
      <c r="K3" s="186"/>
    </row>
    <row r="4" spans="1:16" ht="15.75" x14ac:dyDescent="0.2">
      <c r="A4" s="187" t="str">
        <f>+'PL 03 - ADB tha noi In'!A6:T6</f>
        <v>(Kèm theo Tờ trình số             /TTr-UBND ngày       tháng 9 năm 2022 của UBND tỉnh Quảng Trị)</v>
      </c>
      <c r="B4" s="187"/>
      <c r="C4" s="187"/>
      <c r="D4" s="187"/>
      <c r="E4" s="187"/>
      <c r="F4" s="187"/>
      <c r="G4" s="187"/>
      <c r="H4" s="187"/>
      <c r="I4" s="187"/>
      <c r="J4" s="187"/>
      <c r="K4" s="187"/>
    </row>
    <row r="5" spans="1:16" ht="15.75" x14ac:dyDescent="0.2">
      <c r="J5" s="188" t="s">
        <v>186</v>
      </c>
      <c r="K5" s="188"/>
      <c r="P5" s="96">
        <v>1000000</v>
      </c>
    </row>
    <row r="6" spans="1:16" s="98" customFormat="1" ht="52.15" customHeight="1" x14ac:dyDescent="0.2">
      <c r="A6" s="189" t="s">
        <v>74</v>
      </c>
      <c r="B6" s="189" t="s">
        <v>48</v>
      </c>
      <c r="C6" s="190" t="s">
        <v>232</v>
      </c>
      <c r="D6" s="190" t="s">
        <v>233</v>
      </c>
      <c r="E6" s="191"/>
      <c r="F6" s="190" t="s">
        <v>234</v>
      </c>
      <c r="G6" s="190"/>
      <c r="H6" s="190"/>
      <c r="I6" s="190"/>
      <c r="J6" s="190"/>
      <c r="K6" s="192" t="s">
        <v>235</v>
      </c>
    </row>
    <row r="7" spans="1:16" s="98" customFormat="1" ht="31.5" x14ac:dyDescent="0.2">
      <c r="A7" s="189"/>
      <c r="B7" s="189"/>
      <c r="C7" s="190"/>
      <c r="D7" s="99" t="s">
        <v>187</v>
      </c>
      <c r="E7" s="100" t="s">
        <v>188</v>
      </c>
      <c r="F7" s="101" t="s">
        <v>189</v>
      </c>
      <c r="G7" s="101" t="s">
        <v>190</v>
      </c>
      <c r="H7" s="101" t="s">
        <v>236</v>
      </c>
      <c r="I7" s="101" t="s">
        <v>191</v>
      </c>
      <c r="J7" s="99" t="s">
        <v>192</v>
      </c>
      <c r="K7" s="193"/>
    </row>
    <row r="8" spans="1:16" s="105" customFormat="1" x14ac:dyDescent="0.2">
      <c r="A8" s="102" t="s">
        <v>193</v>
      </c>
      <c r="B8" s="102" t="s">
        <v>194</v>
      </c>
      <c r="C8" s="103">
        <v>1</v>
      </c>
      <c r="D8" s="103">
        <v>2</v>
      </c>
      <c r="E8" s="103">
        <v>3</v>
      </c>
      <c r="F8" s="103">
        <v>4</v>
      </c>
      <c r="G8" s="103">
        <v>5</v>
      </c>
      <c r="H8" s="103">
        <v>6</v>
      </c>
      <c r="I8" s="103">
        <v>7</v>
      </c>
      <c r="J8" s="103">
        <v>8</v>
      </c>
      <c r="K8" s="104" t="s">
        <v>195</v>
      </c>
    </row>
    <row r="9" spans="1:16" ht="24.75" customHeight="1" x14ac:dyDescent="0.2">
      <c r="A9" s="106"/>
      <c r="B9" s="107" t="s">
        <v>196</v>
      </c>
      <c r="C9" s="108">
        <f t="shared" ref="C9:K9" si="0">C10+C11+C12+C15+C24</f>
        <v>128153.849</v>
      </c>
      <c r="D9" s="108">
        <f t="shared" si="0"/>
        <v>1059775.237</v>
      </c>
      <c r="E9" s="108">
        <f t="shared" si="0"/>
        <v>24514.720999999998</v>
      </c>
      <c r="F9" s="108">
        <f t="shared" si="0"/>
        <v>1982.5419999999999</v>
      </c>
      <c r="G9" s="108">
        <f t="shared" si="0"/>
        <v>595.83799999999997</v>
      </c>
      <c r="H9" s="108">
        <f t="shared" si="0"/>
        <v>454.67500000000001</v>
      </c>
      <c r="I9" s="108">
        <f t="shared" si="0"/>
        <v>28.738</v>
      </c>
      <c r="J9" s="108">
        <f t="shared" si="0"/>
        <v>3033.0550000000003</v>
      </c>
      <c r="K9" s="147">
        <f t="shared" si="0"/>
        <v>150686.02799999999</v>
      </c>
      <c r="M9" s="97"/>
    </row>
    <row r="10" spans="1:16" ht="15.75" x14ac:dyDescent="0.2">
      <c r="A10" s="107" t="s">
        <v>197</v>
      </c>
      <c r="B10" s="109" t="s">
        <v>198</v>
      </c>
      <c r="C10" s="110"/>
      <c r="D10" s="110"/>
      <c r="E10" s="110"/>
      <c r="F10" s="110"/>
      <c r="G10" s="110"/>
      <c r="H10" s="110"/>
      <c r="I10" s="110"/>
      <c r="J10" s="110"/>
      <c r="K10" s="110"/>
    </row>
    <row r="11" spans="1:16" ht="15.75" x14ac:dyDescent="0.2">
      <c r="A11" s="107" t="s">
        <v>199</v>
      </c>
      <c r="B11" s="109" t="s">
        <v>200</v>
      </c>
      <c r="C11" s="110"/>
      <c r="D11" s="110"/>
      <c r="E11" s="110"/>
      <c r="F11" s="110"/>
      <c r="G11" s="110"/>
      <c r="H11" s="110"/>
      <c r="I11" s="110"/>
      <c r="J11" s="110"/>
      <c r="K11" s="110"/>
    </row>
    <row r="12" spans="1:16" s="111" customFormat="1" ht="15.75" x14ac:dyDescent="0.2">
      <c r="A12" s="107" t="s">
        <v>201</v>
      </c>
      <c r="B12" s="109" t="s">
        <v>25</v>
      </c>
      <c r="C12" s="108">
        <f>C13+C14</f>
        <v>21000</v>
      </c>
      <c r="D12" s="108">
        <f t="shared" ref="D12:K12" si="1">D13+D14</f>
        <v>0</v>
      </c>
      <c r="E12" s="108">
        <f t="shared" si="1"/>
        <v>0</v>
      </c>
      <c r="F12" s="108">
        <f t="shared" si="1"/>
        <v>0</v>
      </c>
      <c r="G12" s="108">
        <f t="shared" si="1"/>
        <v>0</v>
      </c>
      <c r="H12" s="108">
        <f t="shared" si="1"/>
        <v>0</v>
      </c>
      <c r="I12" s="108">
        <f t="shared" si="1"/>
        <v>0</v>
      </c>
      <c r="J12" s="108">
        <f t="shared" si="1"/>
        <v>0</v>
      </c>
      <c r="K12" s="108">
        <f t="shared" si="1"/>
        <v>21000</v>
      </c>
    </row>
    <row r="13" spans="1:16" ht="15.75" x14ac:dyDescent="0.2">
      <c r="A13" s="106">
        <v>1</v>
      </c>
      <c r="B13" s="112" t="s">
        <v>23</v>
      </c>
      <c r="C13" s="110">
        <v>21000</v>
      </c>
      <c r="D13" s="110"/>
      <c r="E13" s="110"/>
      <c r="F13" s="110"/>
      <c r="G13" s="110"/>
      <c r="H13" s="110"/>
      <c r="I13" s="110"/>
      <c r="J13" s="110">
        <f>SUM(F13:I13)</f>
        <v>0</v>
      </c>
      <c r="K13" s="110">
        <v>21000</v>
      </c>
    </row>
    <row r="14" spans="1:16" ht="15.75" x14ac:dyDescent="0.2">
      <c r="A14" s="106">
        <v>2</v>
      </c>
      <c r="B14" s="112" t="s">
        <v>202</v>
      </c>
      <c r="C14" s="110"/>
      <c r="D14" s="110"/>
      <c r="E14" s="110"/>
      <c r="F14" s="110"/>
      <c r="G14" s="110"/>
      <c r="H14" s="110"/>
      <c r="I14" s="110"/>
      <c r="J14" s="110"/>
      <c r="K14" s="110"/>
    </row>
    <row r="15" spans="1:16" ht="27.75" customHeight="1" x14ac:dyDescent="0.2">
      <c r="A15" s="107" t="s">
        <v>203</v>
      </c>
      <c r="B15" s="109" t="s">
        <v>204</v>
      </c>
      <c r="C15" s="108">
        <f>SUM(C16:C23)</f>
        <v>107153.849</v>
      </c>
      <c r="D15" s="108">
        <f t="shared" ref="D15:K15" si="2">SUM(D16:D23)</f>
        <v>1059775.237</v>
      </c>
      <c r="E15" s="108">
        <f t="shared" si="2"/>
        <v>24514.720999999998</v>
      </c>
      <c r="F15" s="108">
        <f t="shared" si="2"/>
        <v>1982.5419999999999</v>
      </c>
      <c r="G15" s="108">
        <f t="shared" si="2"/>
        <v>595.83799999999997</v>
      </c>
      <c r="H15" s="108">
        <f t="shared" si="2"/>
        <v>454.67500000000001</v>
      </c>
      <c r="I15" s="108">
        <f t="shared" si="2"/>
        <v>28.738</v>
      </c>
      <c r="J15" s="108">
        <f t="shared" si="2"/>
        <v>3033.0550000000003</v>
      </c>
      <c r="K15" s="108">
        <f t="shared" si="2"/>
        <v>129686.02799999998</v>
      </c>
    </row>
    <row r="16" spans="1:16" s="144" customFormat="1" ht="31.5" x14ac:dyDescent="0.2">
      <c r="A16" s="106">
        <v>1</v>
      </c>
      <c r="B16" s="112" t="s">
        <v>226</v>
      </c>
      <c r="C16" s="110">
        <v>12364.58</v>
      </c>
      <c r="D16" s="110">
        <v>10627.58</v>
      </c>
      <c r="E16" s="110">
        <v>245.83699999999999</v>
      </c>
      <c r="F16" s="110"/>
      <c r="G16" s="110"/>
      <c r="H16" s="110"/>
      <c r="I16" s="113"/>
      <c r="J16" s="110">
        <f>SUM(F16:I16)</f>
        <v>0</v>
      </c>
      <c r="K16" s="110">
        <f t="shared" ref="K16:K21" si="3">+C16+E16-F16</f>
        <v>12610.416999999999</v>
      </c>
    </row>
    <row r="17" spans="1:59" s="144" customFormat="1" ht="31.5" x14ac:dyDescent="0.2">
      <c r="A17" s="106">
        <v>2</v>
      </c>
      <c r="B17" s="112" t="s">
        <v>207</v>
      </c>
      <c r="C17" s="110">
        <v>32816.800999999999</v>
      </c>
      <c r="D17" s="110"/>
      <c r="E17" s="110">
        <f>D17*$E$26/10^6</f>
        <v>0</v>
      </c>
      <c r="F17" s="110">
        <v>1365.0119999999999</v>
      </c>
      <c r="G17" s="110">
        <v>323.73899999999998</v>
      </c>
      <c r="H17" s="110"/>
      <c r="I17" s="113">
        <v>0</v>
      </c>
      <c r="J17" s="110">
        <f>SUM(F17:I17)</f>
        <v>1688.751</v>
      </c>
      <c r="K17" s="110">
        <f t="shared" si="3"/>
        <v>31451.789000000001</v>
      </c>
    </row>
    <row r="18" spans="1:59" s="144" customFormat="1" ht="31.5" x14ac:dyDescent="0.2">
      <c r="A18" s="106">
        <v>3</v>
      </c>
      <c r="B18" s="112" t="s">
        <v>206</v>
      </c>
      <c r="C18" s="110">
        <v>1141.9670000000001</v>
      </c>
      <c r="D18" s="110">
        <v>74467.3</v>
      </c>
      <c r="E18" s="110">
        <v>1722.578</v>
      </c>
      <c r="F18" s="110"/>
      <c r="G18" s="110"/>
      <c r="H18" s="110"/>
      <c r="I18" s="113">
        <v>0</v>
      </c>
      <c r="J18" s="110">
        <f>SUM(F18:I18)</f>
        <v>0</v>
      </c>
      <c r="K18" s="110">
        <f t="shared" si="3"/>
        <v>2864.5450000000001</v>
      </c>
    </row>
    <row r="19" spans="1:59" s="144" customFormat="1" ht="31.5" x14ac:dyDescent="0.2">
      <c r="A19" s="106">
        <v>4</v>
      </c>
      <c r="B19" s="112" t="s">
        <v>227</v>
      </c>
      <c r="C19" s="110">
        <v>9318.6049999999996</v>
      </c>
      <c r="D19" s="110">
        <v>402445.18400000001</v>
      </c>
      <c r="E19" s="110">
        <v>9309.3619999999992</v>
      </c>
      <c r="F19" s="110"/>
      <c r="G19" s="110">
        <v>16.335999999999999</v>
      </c>
      <c r="H19" s="110">
        <v>272.87400000000002</v>
      </c>
      <c r="I19" s="113">
        <v>2.2549999999999999</v>
      </c>
      <c r="J19" s="110">
        <v>289.20999999999998</v>
      </c>
      <c r="K19" s="110">
        <f t="shared" si="3"/>
        <v>18627.966999999997</v>
      </c>
    </row>
    <row r="20" spans="1:59" s="144" customFormat="1" ht="37.15" customHeight="1" x14ac:dyDescent="0.2">
      <c r="A20" s="106">
        <v>5</v>
      </c>
      <c r="B20" s="112" t="s">
        <v>228</v>
      </c>
      <c r="C20" s="110">
        <v>18999.144</v>
      </c>
      <c r="D20" s="110">
        <v>399200</v>
      </c>
      <c r="E20" s="110">
        <v>9234.2939999999999</v>
      </c>
      <c r="F20" s="110"/>
      <c r="G20" s="110">
        <v>175.422</v>
      </c>
      <c r="H20" s="110">
        <v>168.578</v>
      </c>
      <c r="I20" s="113">
        <v>20.062999999999999</v>
      </c>
      <c r="J20" s="110">
        <v>344</v>
      </c>
      <c r="K20" s="110">
        <f t="shared" si="3"/>
        <v>28233.438000000002</v>
      </c>
    </row>
    <row r="21" spans="1:59" ht="38.25" customHeight="1" x14ac:dyDescent="0.2">
      <c r="A21" s="106">
        <v>6</v>
      </c>
      <c r="B21" s="112" t="s">
        <v>229</v>
      </c>
      <c r="C21" s="110">
        <v>21508.65</v>
      </c>
      <c r="D21" s="110"/>
      <c r="E21" s="110">
        <f>D21*$E$26/10^6</f>
        <v>0</v>
      </c>
      <c r="F21" s="110"/>
      <c r="G21" s="110"/>
      <c r="H21" s="110"/>
      <c r="I21" s="113"/>
      <c r="J21" s="110">
        <f t="shared" ref="J21:J23" si="4">SUM(F21:I21)</f>
        <v>0</v>
      </c>
      <c r="K21" s="110">
        <f t="shared" si="3"/>
        <v>21508.65</v>
      </c>
    </row>
    <row r="22" spans="1:59" ht="38.25" customHeight="1" x14ac:dyDescent="0.2">
      <c r="A22" s="106">
        <v>7</v>
      </c>
      <c r="B22" s="112" t="s">
        <v>230</v>
      </c>
      <c r="C22" s="110">
        <v>10607.996999999999</v>
      </c>
      <c r="D22" s="110">
        <v>173035.17300000001</v>
      </c>
      <c r="E22" s="110">
        <v>4002.65</v>
      </c>
      <c r="F22" s="110">
        <v>617.53</v>
      </c>
      <c r="G22" s="110">
        <v>76.281000000000006</v>
      </c>
      <c r="H22" s="110">
        <v>12.712999999999999</v>
      </c>
      <c r="I22" s="113">
        <v>6.42</v>
      </c>
      <c r="J22" s="110">
        <v>706.524</v>
      </c>
      <c r="K22" s="110">
        <f t="shared" ref="K22:K23" si="5">+C22+E22-F22</f>
        <v>13993.116999999998</v>
      </c>
    </row>
    <row r="23" spans="1:59" ht="49.9" customHeight="1" x14ac:dyDescent="0.2">
      <c r="A23" s="106">
        <v>8</v>
      </c>
      <c r="B23" s="112" t="s">
        <v>205</v>
      </c>
      <c r="C23" s="110">
        <v>396.10500000000002</v>
      </c>
      <c r="D23" s="110"/>
      <c r="E23" s="110">
        <f>D23*$E$26/10^6</f>
        <v>0</v>
      </c>
      <c r="F23" s="110"/>
      <c r="G23" s="110">
        <v>4.0599999999999996</v>
      </c>
      <c r="H23" s="110">
        <v>0.51</v>
      </c>
      <c r="I23" s="113"/>
      <c r="J23" s="110">
        <f t="shared" si="4"/>
        <v>4.5699999999999994</v>
      </c>
      <c r="K23" s="110">
        <f t="shared" si="5"/>
        <v>396.10500000000002</v>
      </c>
    </row>
    <row r="24" spans="1:59" ht="24" customHeight="1" x14ac:dyDescent="0.2">
      <c r="A24" s="107" t="s">
        <v>208</v>
      </c>
      <c r="B24" s="109" t="s">
        <v>209</v>
      </c>
      <c r="C24" s="110"/>
      <c r="D24" s="110"/>
      <c r="E24" s="110"/>
      <c r="F24" s="110"/>
      <c r="G24" s="110"/>
      <c r="H24" s="110"/>
      <c r="I24" s="110"/>
      <c r="J24" s="110"/>
      <c r="K24" s="110"/>
    </row>
    <row r="25" spans="1:59" ht="15.75" x14ac:dyDescent="0.2">
      <c r="A25" s="184" t="s">
        <v>166</v>
      </c>
      <c r="B25" s="184"/>
      <c r="C25" s="184"/>
      <c r="D25" s="184"/>
      <c r="E25" s="184"/>
      <c r="F25" s="184"/>
      <c r="G25" s="184"/>
      <c r="H25" s="184"/>
      <c r="I25" s="184"/>
      <c r="J25" s="184"/>
      <c r="K25" s="184"/>
    </row>
    <row r="26" spans="1:59" s="117" customFormat="1" ht="15" x14ac:dyDescent="0.2">
      <c r="A26" s="114"/>
      <c r="B26" s="115" t="s">
        <v>231</v>
      </c>
      <c r="C26" s="116"/>
      <c r="E26" s="118">
        <v>23132</v>
      </c>
      <c r="G26" s="119"/>
      <c r="H26" s="120"/>
      <c r="I26" s="120"/>
      <c r="J26" s="121"/>
      <c r="K26" s="121"/>
      <c r="L26" s="121"/>
      <c r="M26" s="119"/>
      <c r="N26" s="119"/>
      <c r="O26" s="119"/>
      <c r="P26" s="119"/>
      <c r="Q26" s="119"/>
      <c r="R26" s="119"/>
      <c r="S26" s="121"/>
      <c r="T26" s="121"/>
      <c r="U26" s="121"/>
      <c r="V26" s="122"/>
      <c r="W26" s="122"/>
      <c r="X26" s="123"/>
      <c r="Y26" s="123"/>
      <c r="Z26" s="123"/>
      <c r="AA26" s="123"/>
      <c r="AB26" s="123"/>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row>
    <row r="33" spans="1:40" s="97" customFormat="1" ht="15" x14ac:dyDescent="0.2">
      <c r="A33" s="96"/>
      <c r="B33" s="96"/>
      <c r="C33" s="125"/>
      <c r="D33" s="125" t="s">
        <v>189</v>
      </c>
      <c r="E33" s="125" t="s">
        <v>190</v>
      </c>
      <c r="F33" s="125" t="s">
        <v>210</v>
      </c>
      <c r="G33" s="125" t="s">
        <v>211</v>
      </c>
      <c r="H33" s="125"/>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row>
    <row r="34" spans="1:40" s="97" customFormat="1" ht="15" x14ac:dyDescent="0.2">
      <c r="A34" s="96"/>
      <c r="B34" s="96"/>
      <c r="C34" s="125" t="s">
        <v>212</v>
      </c>
      <c r="D34" s="126">
        <v>0</v>
      </c>
      <c r="E34" s="126">
        <v>284.44600000000003</v>
      </c>
      <c r="F34" s="126">
        <v>0</v>
      </c>
      <c r="G34" s="126">
        <v>0</v>
      </c>
      <c r="H34" s="126">
        <v>0</v>
      </c>
      <c r="J34" s="97">
        <v>1000000</v>
      </c>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row>
    <row r="35" spans="1:40" s="97" customFormat="1" ht="15" x14ac:dyDescent="0.2">
      <c r="A35" s="96"/>
      <c r="B35" s="96"/>
      <c r="C35" s="125" t="s">
        <v>213</v>
      </c>
      <c r="D35" s="126">
        <v>254.24700000000001</v>
      </c>
      <c r="E35" s="126">
        <v>98.736000000000004</v>
      </c>
      <c r="F35" s="126">
        <v>0</v>
      </c>
      <c r="G35" s="126">
        <v>0</v>
      </c>
      <c r="H35" s="126">
        <v>0</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row>
    <row r="36" spans="1:40" s="97" customFormat="1" ht="15" x14ac:dyDescent="0.2">
      <c r="A36" s="96"/>
      <c r="B36" s="96"/>
      <c r="C36" s="125" t="s">
        <v>214</v>
      </c>
      <c r="D36" s="126">
        <v>0</v>
      </c>
      <c r="E36" s="126">
        <v>6.0830000000000002</v>
      </c>
      <c r="F36" s="126">
        <v>3.65</v>
      </c>
      <c r="G36" s="126">
        <v>0</v>
      </c>
      <c r="H36" s="126">
        <v>0</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row>
    <row r="37" spans="1:40" s="97" customFormat="1" ht="15" x14ac:dyDescent="0.2">
      <c r="A37" s="96"/>
      <c r="B37" s="96"/>
      <c r="C37" s="125" t="s">
        <v>215</v>
      </c>
      <c r="D37" s="126">
        <v>0</v>
      </c>
      <c r="E37" s="126">
        <v>1.1279999999999999</v>
      </c>
      <c r="F37" s="126">
        <v>63.454999999999998</v>
      </c>
      <c r="G37" s="126">
        <v>0.22500000000000001</v>
      </c>
      <c r="H37" s="126">
        <v>0</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row>
    <row r="38" spans="1:40" s="97" customFormat="1" ht="15" x14ac:dyDescent="0.2">
      <c r="A38" s="96"/>
      <c r="B38" s="96"/>
      <c r="C38" s="125" t="s">
        <v>216</v>
      </c>
      <c r="D38" s="126">
        <v>0</v>
      </c>
      <c r="E38" s="126">
        <v>14.407</v>
      </c>
      <c r="F38" s="126">
        <v>162.19999999999999</v>
      </c>
      <c r="G38" s="126">
        <v>2.0630000000000002</v>
      </c>
      <c r="H38" s="126">
        <v>0</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row>
    <row r="39" spans="1:40" s="97" customFormat="1" ht="15" x14ac:dyDescent="0.2">
      <c r="A39" s="96"/>
      <c r="B39" s="96"/>
      <c r="C39" s="125" t="s">
        <v>217</v>
      </c>
      <c r="D39" s="126">
        <v>610.12199999999996</v>
      </c>
      <c r="E39" s="126">
        <v>0</v>
      </c>
      <c r="F39" s="126">
        <v>0</v>
      </c>
      <c r="G39" s="126">
        <v>0</v>
      </c>
      <c r="H39" s="126">
        <v>0</v>
      </c>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row>
    <row r="40" spans="1:40" s="97" customFormat="1" ht="15" x14ac:dyDescent="0.2">
      <c r="A40" s="96"/>
      <c r="B40" s="96"/>
      <c r="C40" s="125"/>
      <c r="D40" s="126">
        <v>0</v>
      </c>
      <c r="E40" s="126">
        <v>0</v>
      </c>
      <c r="F40" s="126">
        <v>0</v>
      </c>
      <c r="G40" s="126">
        <v>0</v>
      </c>
      <c r="H40" s="126">
        <v>0</v>
      </c>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row>
    <row r="47" spans="1:40" ht="15" x14ac:dyDescent="0.2">
      <c r="K47" s="127"/>
    </row>
  </sheetData>
  <mergeCells count="11">
    <mergeCell ref="A25:K25"/>
    <mergeCell ref="A2:K2"/>
    <mergeCell ref="A3:K3"/>
    <mergeCell ref="A4:K4"/>
    <mergeCell ref="J5:K5"/>
    <mergeCell ref="A6:A7"/>
    <mergeCell ref="B6:B7"/>
    <mergeCell ref="C6:C7"/>
    <mergeCell ref="D6:E6"/>
    <mergeCell ref="F6:J6"/>
    <mergeCell ref="K6:K7"/>
  </mergeCells>
  <printOptions horizontalCentered="1"/>
  <pageMargins left="0.31496062992125984" right="0.31496062992125984" top="0.78740157480314965" bottom="0.23622047244094491" header="0.31496062992125984" footer="0.31496062992125984"/>
  <pageSetup paperSize="9" scale="81" fitToHeight="1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2"/>
  <sheetViews>
    <sheetView topLeftCell="A2" workbookViewId="0">
      <selection activeCell="C17" sqref="C17"/>
    </sheetView>
  </sheetViews>
  <sheetFormatPr defaultColWidth="9.140625" defaultRowHeight="15.75" x14ac:dyDescent="0.2"/>
  <cols>
    <col min="1" max="1" width="9.140625" style="129"/>
    <col min="2" max="2" width="65.85546875" style="129" bestFit="1" customWidth="1"/>
    <col min="3" max="5" width="14.5703125" style="129" bestFit="1" customWidth="1"/>
    <col min="6" max="6" width="14.5703125" style="129" hidden="1" customWidth="1"/>
    <col min="7" max="16384" width="9.140625" style="129"/>
  </cols>
  <sheetData>
    <row r="1" spans="1:6" hidden="1" x14ac:dyDescent="0.2">
      <c r="A1" s="128">
        <f>+'[1]PL 01'!A1</f>
        <v>0</v>
      </c>
    </row>
    <row r="3" spans="1:6" x14ac:dyDescent="0.2">
      <c r="A3" s="194" t="s">
        <v>40</v>
      </c>
      <c r="B3" s="194"/>
      <c r="C3" s="194"/>
      <c r="D3" s="194"/>
      <c r="E3" s="194"/>
      <c r="F3" s="194"/>
    </row>
    <row r="4" spans="1:6" ht="36.75" customHeight="1" x14ac:dyDescent="0.2">
      <c r="A4" s="195" t="s">
        <v>218</v>
      </c>
      <c r="B4" s="195"/>
      <c r="C4" s="195"/>
      <c r="D4" s="195"/>
      <c r="E4" s="195"/>
      <c r="F4" s="145"/>
    </row>
    <row r="5" spans="1:6" x14ac:dyDescent="0.2">
      <c r="A5" s="196" t="str">
        <f>+'PL 03 - ADB tha noi In'!A6:T6</f>
        <v>(Kèm theo Tờ trình số             /TTr-UBND ngày       tháng 9 năm 2022 của UBND tỉnh Quảng Trị)</v>
      </c>
      <c r="B5" s="196"/>
      <c r="C5" s="196"/>
      <c r="D5" s="196"/>
      <c r="E5" s="196"/>
      <c r="F5" s="146"/>
    </row>
    <row r="6" spans="1:6" x14ac:dyDescent="0.2">
      <c r="E6" s="130" t="s">
        <v>41</v>
      </c>
    </row>
    <row r="7" spans="1:6" x14ac:dyDescent="0.2">
      <c r="A7" s="131" t="s">
        <v>47</v>
      </c>
      <c r="B7" s="131" t="s">
        <v>48</v>
      </c>
      <c r="C7" s="131">
        <v>2019</v>
      </c>
      <c r="D7" s="131">
        <v>2020</v>
      </c>
      <c r="E7" s="131">
        <v>2021</v>
      </c>
      <c r="F7" s="131">
        <v>2022</v>
      </c>
    </row>
    <row r="8" spans="1:6" ht="20.100000000000001" customHeight="1" x14ac:dyDescent="0.2">
      <c r="A8" s="132" t="s">
        <v>22</v>
      </c>
      <c r="B8" s="133" t="s">
        <v>42</v>
      </c>
      <c r="C8" s="134">
        <v>2512274</v>
      </c>
      <c r="D8" s="134">
        <v>2877771.2431160007</v>
      </c>
      <c r="E8" s="134">
        <v>3689538</v>
      </c>
      <c r="F8" s="134">
        <v>3119350</v>
      </c>
    </row>
    <row r="9" spans="1:6" ht="20.100000000000001" customHeight="1" x14ac:dyDescent="0.2">
      <c r="A9" s="132" t="s">
        <v>24</v>
      </c>
      <c r="B9" s="133" t="s">
        <v>43</v>
      </c>
      <c r="C9" s="134">
        <v>12</v>
      </c>
      <c r="D9" s="134">
        <v>479</v>
      </c>
      <c r="E9" s="134">
        <v>5143</v>
      </c>
      <c r="F9" s="134">
        <v>4900</v>
      </c>
    </row>
    <row r="10" spans="1:6" ht="20.100000000000001" customHeight="1" x14ac:dyDescent="0.2">
      <c r="A10" s="132" t="s">
        <v>28</v>
      </c>
      <c r="B10" s="133" t="s">
        <v>44</v>
      </c>
      <c r="C10" s="135">
        <f>+C9/C8</f>
        <v>4.7765490547607467E-6</v>
      </c>
      <c r="D10" s="135">
        <f t="shared" ref="D10:F10" si="0">+D9/D8</f>
        <v>1.6644825440723603E-4</v>
      </c>
      <c r="E10" s="135">
        <f t="shared" si="0"/>
        <v>1.3939414636737716E-3</v>
      </c>
      <c r="F10" s="135">
        <f t="shared" si="0"/>
        <v>1.5708400788625836E-3</v>
      </c>
    </row>
    <row r="11" spans="1:6" x14ac:dyDescent="0.2">
      <c r="A11" s="133"/>
      <c r="B11" s="133"/>
      <c r="C11" s="133"/>
      <c r="D11" s="133"/>
      <c r="E11" s="133"/>
      <c r="F11" s="133"/>
    </row>
    <row r="12" spans="1:6" x14ac:dyDescent="0.2">
      <c r="A12" s="133"/>
      <c r="B12" s="133"/>
      <c r="C12" s="133"/>
      <c r="D12" s="133"/>
      <c r="E12" s="133"/>
      <c r="F12" s="133"/>
    </row>
  </sheetData>
  <mergeCells count="3">
    <mergeCell ref="A3:F3"/>
    <mergeCell ref="A4:E4"/>
    <mergeCell ref="A5:E5"/>
  </mergeCells>
  <printOptions horizontalCentered="1"/>
  <pageMargins left="0.47244094488188981" right="0.47244094488188981" top="0.78740157480314965" bottom="0.59055118110236227" header="0.31496062992125984" footer="0.31496062992125984"/>
  <pageSetup paperSize="9" fitToHeight="1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75"/>
  <sheetViews>
    <sheetView tabSelected="1" zoomScaleNormal="100" zoomScaleSheetLayoutView="100" workbookViewId="0">
      <selection activeCell="G16" sqref="G16"/>
    </sheetView>
  </sheetViews>
  <sheetFormatPr defaultColWidth="9.140625" defaultRowHeight="15.75" x14ac:dyDescent="0.25"/>
  <cols>
    <col min="1" max="1" width="7.42578125" style="16" customWidth="1"/>
    <col min="2" max="6" width="11.28515625" style="16" bestFit="1" customWidth="1"/>
    <col min="7" max="7" width="14.28515625" style="16" bestFit="1" customWidth="1"/>
    <col min="8" max="8" width="9.140625" style="16"/>
    <col min="9" max="9" width="12.140625" style="16" customWidth="1"/>
    <col min="10" max="10" width="10.28515625" style="16" customWidth="1"/>
    <col min="11" max="11" width="10.42578125" style="16" customWidth="1"/>
    <col min="12" max="12" width="10" style="16" customWidth="1"/>
    <col min="13" max="13" width="10.7109375" style="16" customWidth="1"/>
    <col min="14" max="14" width="10" style="16" customWidth="1"/>
    <col min="15" max="15" width="10.42578125" style="16" customWidth="1"/>
    <col min="16" max="16" width="11.28515625" style="16" bestFit="1" customWidth="1"/>
    <col min="17" max="18" width="11.28515625" style="16" customWidth="1"/>
    <col min="19" max="19" width="12.42578125" style="16" customWidth="1"/>
    <col min="20" max="20" width="12.5703125" style="16" customWidth="1"/>
    <col min="21" max="21" width="5.5703125" style="16" bestFit="1" customWidth="1"/>
    <col min="22" max="22" width="12.5703125" style="16" customWidth="1"/>
    <col min="23" max="23" width="8.42578125" style="16" bestFit="1" customWidth="1"/>
    <col min="24" max="24" width="11.28515625" style="16" bestFit="1" customWidth="1"/>
    <col min="25" max="25" width="8.42578125" style="16" customWidth="1"/>
    <col min="26" max="26" width="19" style="16" customWidth="1"/>
    <col min="27" max="27" width="9.85546875" style="16" bestFit="1" customWidth="1"/>
    <col min="28" max="28" width="14.28515625" style="16" bestFit="1" customWidth="1"/>
    <col min="29" max="29" width="12.5703125" style="16" bestFit="1" customWidth="1"/>
    <col min="30" max="30" width="12.42578125" style="16" bestFit="1" customWidth="1"/>
    <col min="31" max="31" width="10.140625" style="16" bestFit="1" customWidth="1"/>
    <col min="32" max="32" width="19.5703125" style="16" bestFit="1" customWidth="1"/>
    <col min="33" max="33" width="8.7109375" style="16" bestFit="1" customWidth="1"/>
    <col min="34" max="16384" width="9.140625" style="16"/>
  </cols>
  <sheetData>
    <row r="1" spans="1:33" x14ac:dyDescent="0.25">
      <c r="A1" s="13" t="str">
        <f>+'PL 02'!A1</f>
        <v>ỦY BAN NHÂN DÂN TỈNH QUẢNG TRỊ</v>
      </c>
      <c r="B1" s="14"/>
      <c r="C1" s="15"/>
      <c r="D1" s="14"/>
      <c r="E1" s="14"/>
      <c r="F1" s="14"/>
      <c r="G1" s="14"/>
      <c r="H1" s="14"/>
      <c r="I1" s="14"/>
      <c r="J1" s="14"/>
      <c r="K1" s="14"/>
      <c r="L1" s="14"/>
      <c r="M1" s="14"/>
      <c r="N1" s="14"/>
      <c r="O1" s="14"/>
      <c r="P1" s="14"/>
      <c r="Q1" s="14"/>
      <c r="R1" s="14"/>
      <c r="S1" s="14"/>
      <c r="T1" s="14"/>
      <c r="U1" s="14"/>
      <c r="V1" s="14"/>
      <c r="W1" s="14"/>
      <c r="X1" s="14"/>
      <c r="Y1" s="14"/>
    </row>
    <row r="2" spans="1:33" ht="6" customHeight="1" x14ac:dyDescent="0.25">
      <c r="A2" s="14"/>
      <c r="B2" s="14"/>
      <c r="C2" s="14"/>
      <c r="D2" s="14"/>
      <c r="E2" s="14"/>
      <c r="F2" s="14"/>
      <c r="G2" s="14"/>
      <c r="H2" s="14"/>
      <c r="I2" s="14"/>
      <c r="J2" s="14"/>
      <c r="K2" s="14"/>
      <c r="L2" s="14"/>
      <c r="M2" s="14"/>
      <c r="N2" s="14"/>
      <c r="O2" s="14"/>
      <c r="P2" s="14"/>
      <c r="Q2" s="14"/>
      <c r="R2" s="14"/>
      <c r="S2" s="14"/>
      <c r="T2" s="14"/>
      <c r="U2" s="14"/>
      <c r="V2" s="14"/>
      <c r="W2" s="14"/>
      <c r="X2" s="14"/>
      <c r="Y2" s="14"/>
    </row>
    <row r="3" spans="1:33" x14ac:dyDescent="0.25">
      <c r="A3" s="199" t="s">
        <v>224</v>
      </c>
      <c r="B3" s="181"/>
      <c r="C3" s="181"/>
      <c r="D3" s="181"/>
      <c r="E3" s="181"/>
      <c r="F3" s="181"/>
      <c r="G3" s="181"/>
      <c r="H3" s="181"/>
      <c r="I3" s="181"/>
      <c r="J3" s="181"/>
      <c r="K3" s="181"/>
      <c r="L3" s="181"/>
      <c r="M3" s="181"/>
      <c r="N3" s="181"/>
      <c r="O3" s="181"/>
      <c r="P3" s="181"/>
      <c r="Q3" s="181"/>
      <c r="R3" s="181"/>
      <c r="S3" s="181"/>
      <c r="T3" s="181"/>
      <c r="U3" s="149"/>
      <c r="V3" s="149"/>
      <c r="W3" s="149"/>
      <c r="X3" s="149"/>
      <c r="Y3" s="149"/>
    </row>
    <row r="4" spans="1:33" ht="32.25" customHeight="1" x14ac:dyDescent="0.25">
      <c r="A4" s="182" t="s">
        <v>71</v>
      </c>
      <c r="B4" s="182"/>
      <c r="C4" s="182"/>
      <c r="D4" s="182"/>
      <c r="E4" s="182"/>
      <c r="F4" s="182"/>
      <c r="G4" s="182"/>
      <c r="H4" s="182"/>
      <c r="I4" s="182"/>
      <c r="J4" s="182"/>
      <c r="K4" s="182"/>
      <c r="L4" s="182"/>
      <c r="M4" s="182"/>
      <c r="N4" s="182"/>
      <c r="O4" s="182"/>
      <c r="P4" s="182"/>
      <c r="Q4" s="182"/>
      <c r="R4" s="182"/>
      <c r="S4" s="182"/>
      <c r="T4" s="182"/>
      <c r="U4" s="150"/>
      <c r="V4" s="150"/>
      <c r="W4" s="150"/>
      <c r="X4" s="150"/>
      <c r="Y4" s="150"/>
      <c r="Z4" s="16" t="s">
        <v>248</v>
      </c>
    </row>
    <row r="5" spans="1:33" x14ac:dyDescent="0.25">
      <c r="A5" s="200" t="s">
        <v>171</v>
      </c>
      <c r="B5" s="200"/>
      <c r="C5" s="200"/>
      <c r="D5" s="200"/>
      <c r="E5" s="200"/>
      <c r="F5" s="200"/>
      <c r="G5" s="200"/>
      <c r="H5" s="200"/>
      <c r="I5" s="200"/>
      <c r="J5" s="200"/>
      <c r="K5" s="200"/>
      <c r="L5" s="200"/>
      <c r="M5" s="200"/>
      <c r="N5" s="200"/>
      <c r="O5" s="200"/>
      <c r="P5" s="200"/>
      <c r="Q5" s="200"/>
      <c r="R5" s="200"/>
      <c r="S5" s="200"/>
      <c r="T5" s="200"/>
      <c r="U5" s="151"/>
      <c r="V5" s="151"/>
      <c r="W5" s="151"/>
      <c r="X5" s="151"/>
      <c r="Y5" s="151"/>
      <c r="Z5" s="16" t="s">
        <v>237</v>
      </c>
    </row>
    <row r="6" spans="1:33" x14ac:dyDescent="0.25">
      <c r="A6" s="180" t="str">
        <f>+Z4</f>
        <v>(Kèm theo Tờ trình số             /TTr-UBND ngày       tháng 9 năm 2022 của UBND tỉnh Quảng Trị)</v>
      </c>
      <c r="B6" s="181"/>
      <c r="C6" s="181"/>
      <c r="D6" s="181"/>
      <c r="E6" s="181"/>
      <c r="F6" s="181"/>
      <c r="G6" s="181"/>
      <c r="H6" s="181"/>
      <c r="I6" s="181"/>
      <c r="J6" s="181"/>
      <c r="K6" s="181"/>
      <c r="L6" s="181"/>
      <c r="M6" s="181"/>
      <c r="N6" s="181"/>
      <c r="O6" s="181"/>
      <c r="P6" s="181"/>
      <c r="Q6" s="181"/>
      <c r="R6" s="181"/>
      <c r="S6" s="181"/>
      <c r="T6" s="181"/>
      <c r="U6" s="149"/>
      <c r="V6" s="149"/>
      <c r="W6" s="149"/>
      <c r="X6" s="149"/>
      <c r="Y6" s="149"/>
      <c r="Z6" s="16" t="s">
        <v>247</v>
      </c>
    </row>
    <row r="7" spans="1:33" x14ac:dyDescent="0.25">
      <c r="A7" s="14"/>
      <c r="B7" s="14"/>
      <c r="C7" s="14"/>
      <c r="D7" s="14"/>
      <c r="E7" s="14"/>
      <c r="F7" s="14"/>
      <c r="G7" s="14"/>
      <c r="H7" s="14"/>
      <c r="I7" s="14"/>
      <c r="J7" s="14"/>
      <c r="K7" s="14"/>
      <c r="L7" s="14"/>
      <c r="M7" s="14"/>
      <c r="N7" s="14"/>
      <c r="O7" s="14"/>
      <c r="P7" s="14"/>
      <c r="Q7" s="14"/>
      <c r="R7" s="14"/>
      <c r="S7" s="14"/>
      <c r="T7" s="26" t="s">
        <v>85</v>
      </c>
      <c r="U7" s="26"/>
      <c r="V7" s="26"/>
      <c r="W7" s="26"/>
      <c r="X7" s="26"/>
      <c r="Y7" s="26"/>
    </row>
    <row r="8" spans="1:33" s="20" customFormat="1" ht="110.25" x14ac:dyDescent="0.2">
      <c r="A8" s="17" t="s">
        <v>50</v>
      </c>
      <c r="B8" s="18" t="s">
        <v>70</v>
      </c>
      <c r="C8" s="18" t="s">
        <v>69</v>
      </c>
      <c r="D8" s="19" t="s">
        <v>51</v>
      </c>
      <c r="E8" s="19" t="s">
        <v>52</v>
      </c>
      <c r="F8" s="19" t="s">
        <v>53</v>
      </c>
      <c r="G8" s="17" t="s">
        <v>54</v>
      </c>
      <c r="H8" s="17" t="s">
        <v>55</v>
      </c>
      <c r="I8" s="18" t="s">
        <v>220</v>
      </c>
      <c r="J8" s="18" t="s">
        <v>221</v>
      </c>
      <c r="K8" s="18" t="s">
        <v>222</v>
      </c>
      <c r="L8" s="18" t="s">
        <v>223</v>
      </c>
      <c r="M8" s="18" t="s">
        <v>165</v>
      </c>
      <c r="N8" s="17" t="s">
        <v>59</v>
      </c>
      <c r="O8" s="17" t="s">
        <v>60</v>
      </c>
      <c r="P8" s="19" t="s">
        <v>61</v>
      </c>
      <c r="Q8" s="90" t="s">
        <v>177</v>
      </c>
      <c r="R8" s="18" t="s">
        <v>179</v>
      </c>
      <c r="S8" s="18" t="s">
        <v>178</v>
      </c>
      <c r="T8" s="17" t="s">
        <v>63</v>
      </c>
      <c r="U8" s="17"/>
      <c r="V8" s="17"/>
      <c r="W8" s="17"/>
      <c r="X8" s="17"/>
      <c r="Y8" s="17"/>
      <c r="Z8" s="18"/>
    </row>
    <row r="9" spans="1:33" s="20" customFormat="1" ht="63" x14ac:dyDescent="0.2">
      <c r="A9" s="74">
        <v>1</v>
      </c>
      <c r="B9" s="74">
        <f>+A9+1</f>
        <v>2</v>
      </c>
      <c r="C9" s="74">
        <f t="shared" ref="C9:P9" si="0">+B9+1</f>
        <v>3</v>
      </c>
      <c r="D9" s="74">
        <f t="shared" si="0"/>
        <v>4</v>
      </c>
      <c r="E9" s="74">
        <f t="shared" si="0"/>
        <v>5</v>
      </c>
      <c r="F9" s="74">
        <f t="shared" si="0"/>
        <v>6</v>
      </c>
      <c r="G9" s="74">
        <f t="shared" si="0"/>
        <v>7</v>
      </c>
      <c r="H9" s="74">
        <f t="shared" si="0"/>
        <v>8</v>
      </c>
      <c r="I9" s="74">
        <f t="shared" si="0"/>
        <v>9</v>
      </c>
      <c r="J9" s="74">
        <f t="shared" si="0"/>
        <v>10</v>
      </c>
      <c r="K9" s="74">
        <f t="shared" si="0"/>
        <v>11</v>
      </c>
      <c r="L9" s="74">
        <f t="shared" si="0"/>
        <v>12</v>
      </c>
      <c r="M9" s="73" t="s">
        <v>183</v>
      </c>
      <c r="N9" s="74">
        <f>+L9+2</f>
        <v>14</v>
      </c>
      <c r="O9" s="74">
        <f t="shared" si="0"/>
        <v>15</v>
      </c>
      <c r="P9" s="74">
        <f t="shared" si="0"/>
        <v>16</v>
      </c>
      <c r="Q9" s="74" t="s">
        <v>180</v>
      </c>
      <c r="R9" s="74" t="s">
        <v>181</v>
      </c>
      <c r="S9" s="74" t="s">
        <v>182</v>
      </c>
      <c r="T9" s="74" t="s">
        <v>184</v>
      </c>
      <c r="U9" s="154"/>
      <c r="V9" s="154"/>
      <c r="W9" s="154"/>
      <c r="X9" s="154"/>
      <c r="Y9" s="154"/>
    </row>
    <row r="10" spans="1:33" x14ac:dyDescent="0.25">
      <c r="A10" s="27" t="s">
        <v>72</v>
      </c>
      <c r="B10" s="28"/>
      <c r="C10" s="28"/>
      <c r="D10" s="28"/>
      <c r="E10" s="28"/>
      <c r="F10" s="28"/>
      <c r="G10" s="28"/>
      <c r="H10" s="28"/>
      <c r="I10" s="28"/>
      <c r="J10" s="28"/>
      <c r="K10" s="28"/>
      <c r="L10" s="28"/>
      <c r="M10" s="28"/>
      <c r="N10" s="28"/>
      <c r="O10" s="28"/>
      <c r="P10" s="28"/>
      <c r="Q10" s="28"/>
      <c r="R10" s="28"/>
      <c r="S10" s="28"/>
      <c r="T10" s="28"/>
      <c r="U10" s="165" t="s">
        <v>243</v>
      </c>
      <c r="V10" s="198" t="s">
        <v>245</v>
      </c>
      <c r="W10" s="198"/>
      <c r="X10" s="198" t="s">
        <v>244</v>
      </c>
      <c r="Y10" s="198"/>
      <c r="Z10" s="157">
        <v>23210</v>
      </c>
      <c r="AA10" s="157"/>
      <c r="AB10" s="157"/>
      <c r="AC10" s="22">
        <f>+AC11+AC12</f>
        <v>13960352.844600152</v>
      </c>
    </row>
    <row r="11" spans="1:33" x14ac:dyDescent="0.25">
      <c r="A11" s="30" t="s">
        <v>22</v>
      </c>
      <c r="B11" s="31">
        <v>44941</v>
      </c>
      <c r="C11" s="31">
        <f t="shared" ref="C11:C59" si="1">DATE(YEAR(B11),MONTH(B11)+6,DAY(B11))</f>
        <v>45122</v>
      </c>
      <c r="D11" s="30">
        <f>+C11-B11</f>
        <v>181</v>
      </c>
      <c r="E11" s="32">
        <v>2154244</v>
      </c>
      <c r="F11" s="32">
        <f>+E11</f>
        <v>2154244</v>
      </c>
      <c r="G11" s="32">
        <f>SUM(E12:E22)</f>
        <v>9845756</v>
      </c>
      <c r="H11" s="33"/>
      <c r="I11" s="139">
        <v>8.5070000000000007E-2</v>
      </c>
      <c r="J11" s="34">
        <v>0.5</v>
      </c>
      <c r="K11" s="34">
        <v>0.14000000000000001</v>
      </c>
      <c r="L11" s="34">
        <v>0.1</v>
      </c>
      <c r="M11" s="83">
        <f>+I11+J11+K11+L11</f>
        <v>0.82506999999999997</v>
      </c>
      <c r="N11" s="34">
        <v>0.25</v>
      </c>
      <c r="O11" s="34">
        <v>0.15</v>
      </c>
      <c r="P11" s="32"/>
      <c r="Q11" s="32">
        <f>+F11*M11%*D11/360</f>
        <v>8936.3827658744449</v>
      </c>
      <c r="R11" s="32">
        <f>+F11*N11%*D11/360</f>
        <v>2707.7650277777775</v>
      </c>
      <c r="S11" s="32">
        <f>G11*O11%*D11/360</f>
        <v>7425.3409833333335</v>
      </c>
      <c r="T11" s="32">
        <f>SUM(P11:S11)</f>
        <v>19069.488776985556</v>
      </c>
      <c r="U11" s="162" t="s">
        <v>241</v>
      </c>
      <c r="V11" s="163">
        <f>+E11+E12</f>
        <v>4308488</v>
      </c>
      <c r="W11" s="163">
        <f>+V11*Z10/10^6</f>
        <v>100000.00648</v>
      </c>
      <c r="X11" s="163">
        <f>+T11+T12</f>
        <v>48640.604080470002</v>
      </c>
      <c r="Y11" s="163">
        <f>+X11*$Z$10/10^6</f>
        <v>1128.9484207077089</v>
      </c>
      <c r="Z11" s="160">
        <f>+$Z$10*AC11</f>
        <v>15907498567.81591</v>
      </c>
      <c r="AA11" s="87">
        <f>+ROUND(Z11,-6)/10^6</f>
        <v>15907</v>
      </c>
      <c r="AB11" s="87"/>
      <c r="AC11" s="22">
        <f>SUM(T11:T22)</f>
        <v>685372.62248237443</v>
      </c>
      <c r="AD11" s="16" t="s">
        <v>175</v>
      </c>
      <c r="AE11" s="22">
        <f>+AC11/6</f>
        <v>114228.77041372907</v>
      </c>
      <c r="AF11" s="23">
        <f>+AE11*$Z$10</f>
        <v>2651249761.3026519</v>
      </c>
      <c r="AG11" s="24">
        <f t="shared" ref="AG11:AG12" si="2">+ROUND(AF11,-6)/10^6</f>
        <v>2651</v>
      </c>
    </row>
    <row r="12" spans="1:33" x14ac:dyDescent="0.25">
      <c r="A12" s="30">
        <f>+A11+1</f>
        <v>2</v>
      </c>
      <c r="B12" s="31">
        <f t="shared" ref="B12:B22" si="3">C11</f>
        <v>45122</v>
      </c>
      <c r="C12" s="31">
        <f t="shared" si="1"/>
        <v>45306</v>
      </c>
      <c r="D12" s="30">
        <f t="shared" ref="D12:D59" si="4">+C12-B12</f>
        <v>184</v>
      </c>
      <c r="E12" s="32">
        <f>+E11</f>
        <v>2154244</v>
      </c>
      <c r="F12" s="32">
        <f t="shared" ref="F12:F20" si="5">E12+F11-P11</f>
        <v>4308488</v>
      </c>
      <c r="G12" s="32">
        <f>SUM(E13:E22)</f>
        <v>7691512</v>
      </c>
      <c r="H12" s="33"/>
      <c r="I12" s="139">
        <f>+I11</f>
        <v>8.5070000000000007E-2</v>
      </c>
      <c r="J12" s="34">
        <v>0.5</v>
      </c>
      <c r="K12" s="34">
        <v>0.14000000000000001</v>
      </c>
      <c r="L12" s="34">
        <v>0.1</v>
      </c>
      <c r="M12" s="83">
        <f t="shared" ref="M12:M22" si="6">+I12+J12+K12+L12</f>
        <v>0.82506999999999997</v>
      </c>
      <c r="N12" s="34">
        <v>0.25</v>
      </c>
      <c r="O12" s="34">
        <v>0.15</v>
      </c>
      <c r="P12" s="35"/>
      <c r="Q12" s="32">
        <f t="shared" ref="Q12:Q61" si="7">+F12*M12%*D12/360</f>
        <v>18168.999214595555</v>
      </c>
      <c r="R12" s="32">
        <f t="shared" ref="R12:R61" si="8">+F12*N12%*D12/360</f>
        <v>5505.2902222222219</v>
      </c>
      <c r="S12" s="32">
        <f t="shared" ref="S12:S61" si="9">G12*O12%*D12/360</f>
        <v>5896.8258666666661</v>
      </c>
      <c r="T12" s="32">
        <f t="shared" ref="T12:T61" si="10">SUM(P12:S12)</f>
        <v>29571.115303484443</v>
      </c>
      <c r="U12" s="163"/>
      <c r="V12" s="164">
        <f>+V11/F14%</f>
        <v>35.904066666666665</v>
      </c>
      <c r="W12" s="164"/>
      <c r="X12" s="164"/>
      <c r="Y12" s="164"/>
      <c r="Z12" s="160">
        <f>+$Z$10*AC12</f>
        <v>308112290955.35364</v>
      </c>
      <c r="AA12" s="87">
        <f>+ROUND(Z12,-6)/10^6</f>
        <v>308112</v>
      </c>
      <c r="AB12" s="87"/>
      <c r="AC12" s="22">
        <f>+AC13+AC14</f>
        <v>13274980.222117778</v>
      </c>
      <c r="AD12" s="16" t="s">
        <v>176</v>
      </c>
      <c r="AE12" s="22">
        <f>+AC12/19</f>
        <v>698683.16958514624</v>
      </c>
      <c r="AF12" s="23">
        <f>+AE12*$Z$10</f>
        <v>16216436366.071245</v>
      </c>
      <c r="AG12" s="24">
        <f t="shared" si="2"/>
        <v>16216</v>
      </c>
    </row>
    <row r="13" spans="1:33" x14ac:dyDescent="0.25">
      <c r="A13" s="30">
        <f t="shared" ref="A13:A20" si="11">+A12+1</f>
        <v>3</v>
      </c>
      <c r="B13" s="31">
        <f t="shared" si="3"/>
        <v>45306</v>
      </c>
      <c r="C13" s="31">
        <f t="shared" si="1"/>
        <v>45488</v>
      </c>
      <c r="D13" s="30">
        <f t="shared" si="4"/>
        <v>182</v>
      </c>
      <c r="E13" s="32">
        <f>(12000000-E11-E12)/2</f>
        <v>3845756</v>
      </c>
      <c r="F13" s="32">
        <f t="shared" si="5"/>
        <v>8154244</v>
      </c>
      <c r="G13" s="32">
        <f>SUM(E14:E22)</f>
        <v>3845756</v>
      </c>
      <c r="H13" s="33"/>
      <c r="I13" s="139">
        <f t="shared" ref="I13:I22" si="12">+I12</f>
        <v>8.5070000000000007E-2</v>
      </c>
      <c r="J13" s="34">
        <v>0.5</v>
      </c>
      <c r="K13" s="34">
        <v>0.14000000000000001</v>
      </c>
      <c r="L13" s="34">
        <v>0.1</v>
      </c>
      <c r="M13" s="83">
        <f t="shared" si="6"/>
        <v>0.82506999999999997</v>
      </c>
      <c r="N13" s="34">
        <v>0.25</v>
      </c>
      <c r="O13" s="34">
        <v>0.15</v>
      </c>
      <c r="P13" s="35"/>
      <c r="Q13" s="32">
        <f t="shared" si="7"/>
        <v>34012.878379682224</v>
      </c>
      <c r="R13" s="32">
        <f t="shared" si="8"/>
        <v>10306.058388888889</v>
      </c>
      <c r="S13" s="32">
        <f t="shared" si="9"/>
        <v>2916.364966666667</v>
      </c>
      <c r="T13" s="32">
        <f t="shared" si="10"/>
        <v>47235.301735237779</v>
      </c>
      <c r="U13" s="162" t="s">
        <v>242</v>
      </c>
      <c r="V13" s="163">
        <f>+E13+E14</f>
        <v>7691512</v>
      </c>
      <c r="W13" s="163">
        <f>+V13*Z10/10^6-1</f>
        <v>178518.99351999999</v>
      </c>
      <c r="X13" s="163">
        <f>+T13+T14</f>
        <v>113172.92840190444</v>
      </c>
      <c r="Y13" s="163">
        <f>+X13*$Z$10/10^6</f>
        <v>2626.7436682082021</v>
      </c>
      <c r="Z13" s="14"/>
      <c r="AC13" s="86">
        <f>SUM(P24:P61)</f>
        <v>12000000</v>
      </c>
      <c r="AE13" s="21"/>
    </row>
    <row r="14" spans="1:33" x14ac:dyDescent="0.25">
      <c r="A14" s="30">
        <f t="shared" si="11"/>
        <v>4</v>
      </c>
      <c r="B14" s="31">
        <f t="shared" si="3"/>
        <v>45488</v>
      </c>
      <c r="C14" s="31">
        <f t="shared" si="1"/>
        <v>45672</v>
      </c>
      <c r="D14" s="30">
        <f t="shared" si="4"/>
        <v>184</v>
      </c>
      <c r="E14" s="32">
        <f>+E13</f>
        <v>3845756</v>
      </c>
      <c r="F14" s="32">
        <f t="shared" si="5"/>
        <v>12000000</v>
      </c>
      <c r="G14" s="36">
        <f>SUM(E15:E23)</f>
        <v>0</v>
      </c>
      <c r="H14" s="33"/>
      <c r="I14" s="139">
        <f t="shared" si="12"/>
        <v>8.5070000000000007E-2</v>
      </c>
      <c r="J14" s="34">
        <v>0.5</v>
      </c>
      <c r="K14" s="34">
        <v>0.14000000000000001</v>
      </c>
      <c r="L14" s="34">
        <v>0.1</v>
      </c>
      <c r="M14" s="83">
        <f t="shared" si="6"/>
        <v>0.82506999999999997</v>
      </c>
      <c r="N14" s="34">
        <v>0.25</v>
      </c>
      <c r="O14" s="34">
        <v>0.15</v>
      </c>
      <c r="P14" s="35"/>
      <c r="Q14" s="32">
        <f t="shared" si="7"/>
        <v>50604.293333333328</v>
      </c>
      <c r="R14" s="32">
        <f t="shared" si="8"/>
        <v>15333.333333333334</v>
      </c>
      <c r="S14" s="32">
        <f t="shared" si="9"/>
        <v>0</v>
      </c>
      <c r="T14" s="32">
        <f t="shared" si="10"/>
        <v>65937.626666666663</v>
      </c>
      <c r="U14" s="163"/>
      <c r="V14" s="164">
        <f>+V13/F14%</f>
        <v>64.095933333333335</v>
      </c>
      <c r="W14" s="163">
        <f>+W13+W11</f>
        <v>278519</v>
      </c>
      <c r="X14" s="163"/>
      <c r="Y14" s="163"/>
      <c r="Z14" s="161" t="s">
        <v>238</v>
      </c>
      <c r="AA14" s="153">
        <f>+T11+T12</f>
        <v>48640.604080470002</v>
      </c>
      <c r="AB14" s="153">
        <f>+AA14*Z10</f>
        <v>1128948420.7077088</v>
      </c>
      <c r="AC14" s="86">
        <f>SUM(Q24:S61)</f>
        <v>1274980.2221177774</v>
      </c>
    </row>
    <row r="15" spans="1:33" x14ac:dyDescent="0.25">
      <c r="A15" s="30">
        <f t="shared" si="11"/>
        <v>5</v>
      </c>
      <c r="B15" s="31">
        <f t="shared" si="3"/>
        <v>45672</v>
      </c>
      <c r="C15" s="31">
        <f t="shared" si="1"/>
        <v>45853</v>
      </c>
      <c r="D15" s="30">
        <f t="shared" si="4"/>
        <v>181</v>
      </c>
      <c r="E15" s="32"/>
      <c r="F15" s="32">
        <f t="shared" si="5"/>
        <v>12000000</v>
      </c>
      <c r="G15" s="36">
        <f>SUM(E16:E24)</f>
        <v>0</v>
      </c>
      <c r="H15" s="33"/>
      <c r="I15" s="139">
        <f t="shared" si="12"/>
        <v>8.5070000000000007E-2</v>
      </c>
      <c r="J15" s="34">
        <v>0.5</v>
      </c>
      <c r="K15" s="34">
        <v>0.14000000000000001</v>
      </c>
      <c r="L15" s="34">
        <v>0.1</v>
      </c>
      <c r="M15" s="83">
        <f t="shared" si="6"/>
        <v>0.82506999999999997</v>
      </c>
      <c r="N15" s="34">
        <v>0.25</v>
      </c>
      <c r="O15" s="38">
        <v>0</v>
      </c>
      <c r="P15" s="35"/>
      <c r="Q15" s="32">
        <f t="shared" si="7"/>
        <v>49779.223333333328</v>
      </c>
      <c r="R15" s="32">
        <f t="shared" si="8"/>
        <v>15083.333333333334</v>
      </c>
      <c r="S15" s="32">
        <f t="shared" si="9"/>
        <v>0</v>
      </c>
      <c r="T15" s="32">
        <f t="shared" si="10"/>
        <v>64862.556666666664</v>
      </c>
      <c r="U15" s="166"/>
      <c r="V15" s="155"/>
      <c r="W15" s="155"/>
      <c r="X15" s="155"/>
      <c r="Y15" s="155"/>
      <c r="Z15" s="161" t="s">
        <v>239</v>
      </c>
      <c r="AA15" s="153">
        <f>+T13+T14</f>
        <v>113172.92840190444</v>
      </c>
      <c r="AB15" s="153">
        <f>+AA15*Z10</f>
        <v>2626743668.2082019</v>
      </c>
      <c r="AC15" s="21">
        <f>+AC10-AC13-AC11</f>
        <v>1274980.2221177779</v>
      </c>
    </row>
    <row r="16" spans="1:33" x14ac:dyDescent="0.25">
      <c r="A16" s="30">
        <f t="shared" si="11"/>
        <v>6</v>
      </c>
      <c r="B16" s="31">
        <f t="shared" si="3"/>
        <v>45853</v>
      </c>
      <c r="C16" s="31">
        <f t="shared" si="1"/>
        <v>46037</v>
      </c>
      <c r="D16" s="30">
        <f t="shared" si="4"/>
        <v>184</v>
      </c>
      <c r="E16" s="32"/>
      <c r="F16" s="32">
        <f t="shared" si="5"/>
        <v>12000000</v>
      </c>
      <c r="G16" s="36">
        <f>SUM(E17:E22)</f>
        <v>0</v>
      </c>
      <c r="H16" s="33"/>
      <c r="I16" s="139">
        <f t="shared" si="12"/>
        <v>8.5070000000000007E-2</v>
      </c>
      <c r="J16" s="34">
        <v>0.5</v>
      </c>
      <c r="K16" s="34">
        <v>0.14000000000000001</v>
      </c>
      <c r="L16" s="34">
        <v>0.1</v>
      </c>
      <c r="M16" s="83">
        <f t="shared" si="6"/>
        <v>0.82506999999999997</v>
      </c>
      <c r="N16" s="34">
        <v>0.25</v>
      </c>
      <c r="O16" s="38">
        <v>0</v>
      </c>
      <c r="P16" s="35"/>
      <c r="Q16" s="32">
        <f t="shared" si="7"/>
        <v>50604.293333333328</v>
      </c>
      <c r="R16" s="32">
        <f t="shared" si="8"/>
        <v>15333.333333333334</v>
      </c>
      <c r="S16" s="32">
        <f t="shared" si="9"/>
        <v>0</v>
      </c>
      <c r="T16" s="32">
        <f t="shared" si="10"/>
        <v>65937.626666666663</v>
      </c>
      <c r="U16" s="166"/>
      <c r="V16" s="155"/>
      <c r="W16" s="155"/>
      <c r="X16" s="155"/>
      <c r="Y16" s="155"/>
      <c r="Z16" s="161"/>
      <c r="AA16" s="158"/>
      <c r="AB16" s="159">
        <f>+AB14/10^6</f>
        <v>1128.9484207077089</v>
      </c>
      <c r="AC16" s="21">
        <f>+AC15+AC11</f>
        <v>1960352.8446001522</v>
      </c>
      <c r="AF16" s="23">
        <f>+AC16*Z10</f>
        <v>45499789523.169533</v>
      </c>
      <c r="AG16" s="16">
        <f>+AF16/10^6</f>
        <v>45499.789523169529</v>
      </c>
    </row>
    <row r="17" spans="1:32" x14ac:dyDescent="0.25">
      <c r="A17" s="30">
        <f t="shared" si="11"/>
        <v>7</v>
      </c>
      <c r="B17" s="31">
        <f t="shared" si="3"/>
        <v>46037</v>
      </c>
      <c r="C17" s="31">
        <f t="shared" si="1"/>
        <v>46218</v>
      </c>
      <c r="D17" s="30">
        <f t="shared" si="4"/>
        <v>181</v>
      </c>
      <c r="E17" s="37"/>
      <c r="F17" s="32">
        <f t="shared" si="5"/>
        <v>12000000</v>
      </c>
      <c r="G17" s="37"/>
      <c r="H17" s="33"/>
      <c r="I17" s="139">
        <f t="shared" si="12"/>
        <v>8.5070000000000007E-2</v>
      </c>
      <c r="J17" s="34">
        <v>0.5</v>
      </c>
      <c r="K17" s="34">
        <v>0.14000000000000001</v>
      </c>
      <c r="L17" s="34">
        <v>0.1</v>
      </c>
      <c r="M17" s="83">
        <f t="shared" si="6"/>
        <v>0.82506999999999997</v>
      </c>
      <c r="N17" s="34">
        <v>0.25</v>
      </c>
      <c r="O17" s="38">
        <v>0</v>
      </c>
      <c r="P17" s="35"/>
      <c r="Q17" s="32">
        <f t="shared" si="7"/>
        <v>49779.223333333328</v>
      </c>
      <c r="R17" s="32">
        <f t="shared" si="8"/>
        <v>15083.333333333334</v>
      </c>
      <c r="S17" s="32">
        <f t="shared" si="9"/>
        <v>0</v>
      </c>
      <c r="T17" s="32">
        <f t="shared" si="10"/>
        <v>64862.556666666664</v>
      </c>
      <c r="U17" s="166"/>
      <c r="V17" s="155"/>
      <c r="W17" s="155"/>
      <c r="X17" s="155"/>
      <c r="Y17" s="155"/>
      <c r="Z17" s="161"/>
      <c r="AA17" s="158"/>
      <c r="AB17" s="159">
        <f>+AB15/10^6</f>
        <v>2626.7436682082021</v>
      </c>
    </row>
    <row r="18" spans="1:32" x14ac:dyDescent="0.25">
      <c r="A18" s="30">
        <f t="shared" si="11"/>
        <v>8</v>
      </c>
      <c r="B18" s="31">
        <f t="shared" si="3"/>
        <v>46218</v>
      </c>
      <c r="C18" s="31">
        <f t="shared" si="1"/>
        <v>46402</v>
      </c>
      <c r="D18" s="30">
        <f t="shared" si="4"/>
        <v>184</v>
      </c>
      <c r="E18" s="37"/>
      <c r="F18" s="32">
        <f t="shared" si="5"/>
        <v>12000000</v>
      </c>
      <c r="G18" s="39"/>
      <c r="H18" s="33"/>
      <c r="I18" s="139">
        <f t="shared" si="12"/>
        <v>8.5070000000000007E-2</v>
      </c>
      <c r="J18" s="34">
        <v>0.5</v>
      </c>
      <c r="K18" s="34">
        <v>0.14000000000000001</v>
      </c>
      <c r="L18" s="34">
        <v>0.1</v>
      </c>
      <c r="M18" s="83">
        <f t="shared" si="6"/>
        <v>0.82506999999999997</v>
      </c>
      <c r="N18" s="34">
        <v>0.25</v>
      </c>
      <c r="O18" s="38">
        <v>0</v>
      </c>
      <c r="P18" s="35"/>
      <c r="Q18" s="32">
        <f t="shared" si="7"/>
        <v>50604.293333333328</v>
      </c>
      <c r="R18" s="32">
        <f t="shared" si="8"/>
        <v>15333.333333333334</v>
      </c>
      <c r="S18" s="32">
        <f t="shared" si="9"/>
        <v>0</v>
      </c>
      <c r="T18" s="32">
        <f t="shared" si="10"/>
        <v>65937.626666666663</v>
      </c>
      <c r="U18" s="166"/>
      <c r="V18" s="155"/>
      <c r="W18" s="155">
        <v>696298</v>
      </c>
      <c r="X18" s="155"/>
      <c r="Y18" s="155"/>
      <c r="Z18" s="161" t="s">
        <v>240</v>
      </c>
      <c r="AA18" s="153">
        <f>+T15+T16</f>
        <v>130800.18333333332</v>
      </c>
      <c r="AB18" s="153">
        <f>+AA18*Z10</f>
        <v>3035872255.1666665</v>
      </c>
      <c r="AF18" s="21">
        <v>100000000000</v>
      </c>
    </row>
    <row r="19" spans="1:32" x14ac:dyDescent="0.25">
      <c r="A19" s="30">
        <f t="shared" si="11"/>
        <v>9</v>
      </c>
      <c r="B19" s="31">
        <f t="shared" si="3"/>
        <v>46402</v>
      </c>
      <c r="C19" s="31">
        <f t="shared" si="1"/>
        <v>46583</v>
      </c>
      <c r="D19" s="30">
        <f t="shared" si="4"/>
        <v>181</v>
      </c>
      <c r="E19" s="35"/>
      <c r="F19" s="32">
        <f t="shared" si="5"/>
        <v>12000000</v>
      </c>
      <c r="G19" s="39"/>
      <c r="H19" s="33"/>
      <c r="I19" s="139">
        <f t="shared" si="12"/>
        <v>8.5070000000000007E-2</v>
      </c>
      <c r="J19" s="34">
        <v>0.5</v>
      </c>
      <c r="K19" s="34">
        <v>0.14000000000000001</v>
      </c>
      <c r="L19" s="34">
        <v>0.1</v>
      </c>
      <c r="M19" s="83">
        <f t="shared" si="6"/>
        <v>0.82506999999999997</v>
      </c>
      <c r="N19" s="34">
        <v>0.25</v>
      </c>
      <c r="O19" s="38">
        <v>0</v>
      </c>
      <c r="P19" s="35"/>
      <c r="Q19" s="32">
        <f t="shared" si="7"/>
        <v>49779.223333333328</v>
      </c>
      <c r="R19" s="32">
        <f t="shared" si="8"/>
        <v>15083.333333333334</v>
      </c>
      <c r="S19" s="32">
        <f t="shared" si="9"/>
        <v>0</v>
      </c>
      <c r="T19" s="32">
        <f t="shared" si="10"/>
        <v>64862.556666666664</v>
      </c>
      <c r="U19" s="155"/>
      <c r="V19" s="155"/>
      <c r="W19" s="155">
        <f>+W18*40%</f>
        <v>278519.2</v>
      </c>
      <c r="X19" s="155"/>
      <c r="Y19" s="155"/>
      <c r="AB19" s="159">
        <f>+AB18/10^6</f>
        <v>3035.8722551666665</v>
      </c>
      <c r="AF19" s="148">
        <f>+AF18/Z10</f>
        <v>4308487.7208099961</v>
      </c>
    </row>
    <row r="20" spans="1:32" x14ac:dyDescent="0.25">
      <c r="A20" s="30">
        <f t="shared" si="11"/>
        <v>10</v>
      </c>
      <c r="B20" s="31">
        <f t="shared" si="3"/>
        <v>46583</v>
      </c>
      <c r="C20" s="31">
        <f t="shared" si="1"/>
        <v>46767</v>
      </c>
      <c r="D20" s="30">
        <f t="shared" si="4"/>
        <v>184</v>
      </c>
      <c r="E20" s="35"/>
      <c r="F20" s="32">
        <f t="shared" si="5"/>
        <v>12000000</v>
      </c>
      <c r="G20" s="33"/>
      <c r="H20" s="33"/>
      <c r="I20" s="139">
        <f t="shared" si="12"/>
        <v>8.5070000000000007E-2</v>
      </c>
      <c r="J20" s="34">
        <v>0.5</v>
      </c>
      <c r="K20" s="34">
        <v>0.14000000000000001</v>
      </c>
      <c r="L20" s="34">
        <v>0.1</v>
      </c>
      <c r="M20" s="83">
        <f t="shared" si="6"/>
        <v>0.82506999999999997</v>
      </c>
      <c r="N20" s="34">
        <v>0.25</v>
      </c>
      <c r="O20" s="38">
        <v>0</v>
      </c>
      <c r="P20" s="35"/>
      <c r="Q20" s="32">
        <f t="shared" si="7"/>
        <v>50604.293333333328</v>
      </c>
      <c r="R20" s="32">
        <f t="shared" si="8"/>
        <v>15333.333333333334</v>
      </c>
      <c r="S20" s="32">
        <f t="shared" si="9"/>
        <v>0</v>
      </c>
      <c r="T20" s="32">
        <f t="shared" si="10"/>
        <v>65937.626666666663</v>
      </c>
      <c r="U20" s="155"/>
      <c r="V20" s="155"/>
      <c r="W20" s="155"/>
      <c r="X20" s="155"/>
      <c r="Y20" s="155"/>
      <c r="Z20" s="16">
        <v>12000</v>
      </c>
      <c r="AC20" s="23">
        <f>$Z$10*Z20/1000</f>
        <v>278520</v>
      </c>
      <c r="AF20" s="148">
        <f>+AF19/2</f>
        <v>2154243.8604049981</v>
      </c>
    </row>
    <row r="21" spans="1:32" x14ac:dyDescent="0.25">
      <c r="A21" s="30">
        <f>+A20+1</f>
        <v>11</v>
      </c>
      <c r="B21" s="31">
        <f t="shared" si="3"/>
        <v>46767</v>
      </c>
      <c r="C21" s="31">
        <f t="shared" si="1"/>
        <v>46949</v>
      </c>
      <c r="D21" s="30">
        <f t="shared" si="4"/>
        <v>182</v>
      </c>
      <c r="E21" s="35"/>
      <c r="F21" s="32">
        <f t="shared" ref="F21:F22" si="13">E21+F20-P20</f>
        <v>12000000</v>
      </c>
      <c r="G21" s="33"/>
      <c r="H21" s="33"/>
      <c r="I21" s="139">
        <f t="shared" si="12"/>
        <v>8.5070000000000007E-2</v>
      </c>
      <c r="J21" s="34">
        <v>0.5</v>
      </c>
      <c r="K21" s="34">
        <v>0.14000000000000001</v>
      </c>
      <c r="L21" s="34">
        <v>0.1</v>
      </c>
      <c r="M21" s="83">
        <f t="shared" si="6"/>
        <v>0.82506999999999997</v>
      </c>
      <c r="N21" s="34">
        <v>0.25</v>
      </c>
      <c r="O21" s="38"/>
      <c r="P21" s="35"/>
      <c r="Q21" s="32">
        <f t="shared" si="7"/>
        <v>50054.246666666666</v>
      </c>
      <c r="R21" s="32">
        <f t="shared" si="8"/>
        <v>15166.666666666666</v>
      </c>
      <c r="S21" s="32">
        <f t="shared" si="9"/>
        <v>0</v>
      </c>
      <c r="T21" s="32">
        <f t="shared" si="10"/>
        <v>65220.91333333333</v>
      </c>
      <c r="U21" s="155"/>
      <c r="V21" s="155"/>
      <c r="W21" s="155"/>
      <c r="X21" s="155"/>
      <c r="Y21" s="155"/>
      <c r="Z21" s="16">
        <v>18000</v>
      </c>
      <c r="AC21" s="23">
        <f>$Z$10*Z21/1000</f>
        <v>417780</v>
      </c>
    </row>
    <row r="22" spans="1:32" x14ac:dyDescent="0.25">
      <c r="A22" s="30">
        <f>+A21+1</f>
        <v>12</v>
      </c>
      <c r="B22" s="31">
        <f t="shared" si="3"/>
        <v>46949</v>
      </c>
      <c r="C22" s="31">
        <f t="shared" si="1"/>
        <v>47133</v>
      </c>
      <c r="D22" s="30">
        <f t="shared" si="4"/>
        <v>184</v>
      </c>
      <c r="E22" s="35"/>
      <c r="F22" s="32">
        <f t="shared" si="13"/>
        <v>12000000</v>
      </c>
      <c r="G22" s="33"/>
      <c r="H22" s="33"/>
      <c r="I22" s="139">
        <f t="shared" si="12"/>
        <v>8.5070000000000007E-2</v>
      </c>
      <c r="J22" s="34">
        <v>0.5</v>
      </c>
      <c r="K22" s="34">
        <v>0.14000000000000001</v>
      </c>
      <c r="L22" s="34">
        <v>0.1</v>
      </c>
      <c r="M22" s="83">
        <f t="shared" si="6"/>
        <v>0.82506999999999997</v>
      </c>
      <c r="N22" s="34">
        <v>0.25</v>
      </c>
      <c r="O22" s="38"/>
      <c r="P22" s="35"/>
      <c r="Q22" s="32">
        <f t="shared" si="7"/>
        <v>50604.293333333328</v>
      </c>
      <c r="R22" s="32">
        <f t="shared" si="8"/>
        <v>15333.333333333334</v>
      </c>
      <c r="S22" s="32">
        <f t="shared" si="9"/>
        <v>0</v>
      </c>
      <c r="T22" s="32">
        <f t="shared" si="10"/>
        <v>65937.626666666663</v>
      </c>
      <c r="U22" s="155"/>
      <c r="V22" s="155"/>
      <c r="W22" s="155"/>
      <c r="X22" s="155"/>
      <c r="Y22" s="155"/>
      <c r="AC22" s="23">
        <f>AC20+AC21</f>
        <v>696300</v>
      </c>
    </row>
    <row r="23" spans="1:32" x14ac:dyDescent="0.25">
      <c r="A23" s="40" t="s">
        <v>73</v>
      </c>
      <c r="B23" s="41"/>
      <c r="C23" s="41"/>
      <c r="D23" s="41"/>
      <c r="E23" s="41"/>
      <c r="F23" s="41"/>
      <c r="G23" s="41"/>
      <c r="H23" s="41"/>
      <c r="I23" s="140"/>
      <c r="J23" s="41"/>
      <c r="K23" s="41"/>
      <c r="L23" s="41"/>
      <c r="M23" s="136"/>
      <c r="N23" s="41"/>
      <c r="O23" s="41"/>
      <c r="P23" s="41"/>
      <c r="Q23" s="32"/>
      <c r="R23" s="32"/>
      <c r="S23" s="32"/>
      <c r="T23" s="32"/>
      <c r="U23" s="155"/>
      <c r="V23" s="155"/>
      <c r="W23" s="155"/>
      <c r="X23" s="155"/>
      <c r="Y23" s="155"/>
    </row>
    <row r="24" spans="1:32" x14ac:dyDescent="0.25">
      <c r="A24" s="30">
        <f>+A22+1</f>
        <v>13</v>
      </c>
      <c r="B24" s="42">
        <f>+C22</f>
        <v>47133</v>
      </c>
      <c r="C24" s="31">
        <f t="shared" si="1"/>
        <v>47314</v>
      </c>
      <c r="D24" s="30">
        <f t="shared" si="4"/>
        <v>181</v>
      </c>
      <c r="E24" s="35"/>
      <c r="F24" s="32">
        <f>E24+F20-P20</f>
        <v>12000000</v>
      </c>
      <c r="G24" s="33"/>
      <c r="H24" s="43">
        <f>100/38</f>
        <v>2.6315789473684212</v>
      </c>
      <c r="I24" s="139">
        <f>+I22</f>
        <v>8.5070000000000007E-2</v>
      </c>
      <c r="J24" s="34">
        <f>+J22</f>
        <v>0.5</v>
      </c>
      <c r="K24" s="34">
        <f t="shared" ref="K24:L24" si="14">+K22</f>
        <v>0.14000000000000001</v>
      </c>
      <c r="L24" s="34">
        <f t="shared" si="14"/>
        <v>0.1</v>
      </c>
      <c r="M24" s="83">
        <f>+M22</f>
        <v>0.82506999999999997</v>
      </c>
      <c r="N24" s="34">
        <f>+N22</f>
        <v>0.25</v>
      </c>
      <c r="O24" s="33"/>
      <c r="P24" s="32">
        <v>316000</v>
      </c>
      <c r="Q24" s="32">
        <f t="shared" si="7"/>
        <v>49779.223333333328</v>
      </c>
      <c r="R24" s="32">
        <f t="shared" si="8"/>
        <v>15083.333333333334</v>
      </c>
      <c r="S24" s="32">
        <f t="shared" si="9"/>
        <v>0</v>
      </c>
      <c r="T24" s="32">
        <f t="shared" si="10"/>
        <v>380862.55666666664</v>
      </c>
      <c r="U24" s="155"/>
      <c r="V24" s="155"/>
      <c r="W24" s="155"/>
      <c r="X24" s="155">
        <f>+P24</f>
        <v>316000</v>
      </c>
      <c r="Y24" s="163">
        <f>+X24*$Z$10/10^6</f>
        <v>7334.36</v>
      </c>
    </row>
    <row r="25" spans="1:32" x14ac:dyDescent="0.25">
      <c r="A25" s="30">
        <f>+A24+1</f>
        <v>14</v>
      </c>
      <c r="B25" s="42">
        <f>+C24</f>
        <v>47314</v>
      </c>
      <c r="C25" s="31">
        <f t="shared" si="1"/>
        <v>47498</v>
      </c>
      <c r="D25" s="30">
        <f t="shared" si="4"/>
        <v>184</v>
      </c>
      <c r="E25" s="35"/>
      <c r="F25" s="32">
        <f t="shared" ref="F25:F57" si="15">E25+F24-P24</f>
        <v>11684000</v>
      </c>
      <c r="G25" s="33"/>
      <c r="H25" s="43">
        <f>+H24</f>
        <v>2.6315789473684212</v>
      </c>
      <c r="I25" s="139">
        <f>+I24</f>
        <v>8.5070000000000007E-2</v>
      </c>
      <c r="J25" s="34">
        <f t="shared" ref="J25:N40" si="16">+J24</f>
        <v>0.5</v>
      </c>
      <c r="K25" s="34">
        <f t="shared" si="16"/>
        <v>0.14000000000000001</v>
      </c>
      <c r="L25" s="34">
        <f t="shared" si="16"/>
        <v>0.1</v>
      </c>
      <c r="M25" s="83">
        <f t="shared" si="16"/>
        <v>0.82506999999999997</v>
      </c>
      <c r="N25" s="34">
        <f t="shared" si="16"/>
        <v>0.25</v>
      </c>
      <c r="O25" s="33"/>
      <c r="P25" s="32">
        <v>316000</v>
      </c>
      <c r="Q25" s="32">
        <f t="shared" si="7"/>
        <v>49271.713608888887</v>
      </c>
      <c r="R25" s="32">
        <f t="shared" si="8"/>
        <v>14929.555555555555</v>
      </c>
      <c r="S25" s="32">
        <f t="shared" si="9"/>
        <v>0</v>
      </c>
      <c r="T25" s="32">
        <f t="shared" si="10"/>
        <v>380201.26916444447</v>
      </c>
      <c r="U25" s="155"/>
      <c r="V25" s="155"/>
      <c r="W25" s="155"/>
      <c r="X25" s="155"/>
      <c r="Y25" s="155"/>
    </row>
    <row r="26" spans="1:32" x14ac:dyDescent="0.25">
      <c r="A26" s="30">
        <f t="shared" ref="A26:A61" si="17">+A25+1</f>
        <v>15</v>
      </c>
      <c r="B26" s="42">
        <f t="shared" ref="B26:B59" si="18">+C25</f>
        <v>47498</v>
      </c>
      <c r="C26" s="31">
        <f t="shared" si="1"/>
        <v>47679</v>
      </c>
      <c r="D26" s="30">
        <f t="shared" si="4"/>
        <v>181</v>
      </c>
      <c r="E26" s="35"/>
      <c r="F26" s="32">
        <f t="shared" si="15"/>
        <v>11368000</v>
      </c>
      <c r="G26" s="33"/>
      <c r="H26" s="43">
        <f t="shared" ref="H26:N57" si="19">+H25</f>
        <v>2.6315789473684212</v>
      </c>
      <c r="I26" s="139">
        <f t="shared" si="19"/>
        <v>8.5070000000000007E-2</v>
      </c>
      <c r="J26" s="34">
        <f t="shared" si="16"/>
        <v>0.5</v>
      </c>
      <c r="K26" s="34">
        <f t="shared" si="16"/>
        <v>0.14000000000000001</v>
      </c>
      <c r="L26" s="34">
        <f t="shared" si="16"/>
        <v>0.1</v>
      </c>
      <c r="M26" s="83">
        <f t="shared" si="16"/>
        <v>0.82506999999999997</v>
      </c>
      <c r="N26" s="34">
        <f t="shared" si="16"/>
        <v>0.25</v>
      </c>
      <c r="O26" s="33"/>
      <c r="P26" s="32">
        <v>316000</v>
      </c>
      <c r="Q26" s="32">
        <f t="shared" si="7"/>
        <v>47157.517571111108</v>
      </c>
      <c r="R26" s="32">
        <f t="shared" si="8"/>
        <v>14288.944444444445</v>
      </c>
      <c r="S26" s="32">
        <f t="shared" si="9"/>
        <v>0</v>
      </c>
      <c r="T26" s="32">
        <f t="shared" si="10"/>
        <v>377446.46201555553</v>
      </c>
      <c r="U26" s="155"/>
      <c r="V26" s="155"/>
      <c r="W26" s="155"/>
      <c r="X26" s="155"/>
      <c r="Y26" s="155"/>
    </row>
    <row r="27" spans="1:32" x14ac:dyDescent="0.25">
      <c r="A27" s="30">
        <f t="shared" si="17"/>
        <v>16</v>
      </c>
      <c r="B27" s="42">
        <f t="shared" si="18"/>
        <v>47679</v>
      </c>
      <c r="C27" s="31">
        <f t="shared" si="1"/>
        <v>47863</v>
      </c>
      <c r="D27" s="30">
        <f t="shared" si="4"/>
        <v>184</v>
      </c>
      <c r="E27" s="35"/>
      <c r="F27" s="32">
        <f t="shared" si="15"/>
        <v>11052000</v>
      </c>
      <c r="G27" s="33"/>
      <c r="H27" s="43">
        <f t="shared" si="19"/>
        <v>2.6315789473684212</v>
      </c>
      <c r="I27" s="139">
        <f t="shared" si="19"/>
        <v>8.5070000000000007E-2</v>
      </c>
      <c r="J27" s="34">
        <f t="shared" si="16"/>
        <v>0.5</v>
      </c>
      <c r="K27" s="34">
        <f t="shared" si="16"/>
        <v>0.14000000000000001</v>
      </c>
      <c r="L27" s="34">
        <f t="shared" si="16"/>
        <v>0.1</v>
      </c>
      <c r="M27" s="83">
        <f t="shared" si="16"/>
        <v>0.82506999999999997</v>
      </c>
      <c r="N27" s="34">
        <f t="shared" si="16"/>
        <v>0.25</v>
      </c>
      <c r="O27" s="33"/>
      <c r="P27" s="32">
        <v>316000</v>
      </c>
      <c r="Q27" s="32">
        <f t="shared" si="7"/>
        <v>46606.55416</v>
      </c>
      <c r="R27" s="32">
        <f t="shared" si="8"/>
        <v>14122</v>
      </c>
      <c r="S27" s="32">
        <f t="shared" si="9"/>
        <v>0</v>
      </c>
      <c r="T27" s="32">
        <f t="shared" si="10"/>
        <v>376728.55416</v>
      </c>
      <c r="U27" s="155"/>
      <c r="V27" s="155"/>
      <c r="W27" s="155"/>
      <c r="X27" s="155"/>
      <c r="Y27" s="155"/>
    </row>
    <row r="28" spans="1:32" x14ac:dyDescent="0.25">
      <c r="A28" s="30">
        <f t="shared" si="17"/>
        <v>17</v>
      </c>
      <c r="B28" s="42">
        <f t="shared" si="18"/>
        <v>47863</v>
      </c>
      <c r="C28" s="31">
        <f t="shared" si="1"/>
        <v>48044</v>
      </c>
      <c r="D28" s="30">
        <f t="shared" si="4"/>
        <v>181</v>
      </c>
      <c r="E28" s="35"/>
      <c r="F28" s="32">
        <f t="shared" si="15"/>
        <v>10736000</v>
      </c>
      <c r="G28" s="33"/>
      <c r="H28" s="43">
        <f t="shared" si="19"/>
        <v>2.6315789473684212</v>
      </c>
      <c r="I28" s="139">
        <f t="shared" si="19"/>
        <v>8.5070000000000007E-2</v>
      </c>
      <c r="J28" s="34">
        <f t="shared" si="16"/>
        <v>0.5</v>
      </c>
      <c r="K28" s="34">
        <f t="shared" si="16"/>
        <v>0.14000000000000001</v>
      </c>
      <c r="L28" s="34">
        <f t="shared" si="16"/>
        <v>0.1</v>
      </c>
      <c r="M28" s="83">
        <f t="shared" si="16"/>
        <v>0.82506999999999997</v>
      </c>
      <c r="N28" s="34">
        <f t="shared" si="16"/>
        <v>0.25</v>
      </c>
      <c r="O28" s="33"/>
      <c r="P28" s="32">
        <v>316000</v>
      </c>
      <c r="Q28" s="32">
        <f t="shared" si="7"/>
        <v>44535.811808888888</v>
      </c>
      <c r="R28" s="32">
        <f t="shared" si="8"/>
        <v>13494.555555555555</v>
      </c>
      <c r="S28" s="32">
        <f t="shared" si="9"/>
        <v>0</v>
      </c>
      <c r="T28" s="32">
        <f t="shared" si="10"/>
        <v>374030.36736444448</v>
      </c>
      <c r="U28" s="155"/>
      <c r="V28" s="155"/>
      <c r="W28" s="155"/>
      <c r="X28" s="155"/>
      <c r="Y28" s="155"/>
    </row>
    <row r="29" spans="1:32" x14ac:dyDescent="0.25">
      <c r="A29" s="30">
        <f t="shared" si="17"/>
        <v>18</v>
      </c>
      <c r="B29" s="42">
        <f t="shared" si="18"/>
        <v>48044</v>
      </c>
      <c r="C29" s="31">
        <f t="shared" si="1"/>
        <v>48228</v>
      </c>
      <c r="D29" s="30">
        <f t="shared" si="4"/>
        <v>184</v>
      </c>
      <c r="E29" s="35"/>
      <c r="F29" s="32">
        <f t="shared" si="15"/>
        <v>10420000</v>
      </c>
      <c r="G29" s="33"/>
      <c r="H29" s="43">
        <f t="shared" si="19"/>
        <v>2.6315789473684212</v>
      </c>
      <c r="I29" s="139">
        <f t="shared" si="19"/>
        <v>8.5070000000000007E-2</v>
      </c>
      <c r="J29" s="34">
        <f t="shared" si="16"/>
        <v>0.5</v>
      </c>
      <c r="K29" s="34">
        <f t="shared" si="16"/>
        <v>0.14000000000000001</v>
      </c>
      <c r="L29" s="34">
        <f t="shared" si="16"/>
        <v>0.1</v>
      </c>
      <c r="M29" s="83">
        <f t="shared" si="16"/>
        <v>0.82506999999999997</v>
      </c>
      <c r="N29" s="34">
        <f t="shared" si="16"/>
        <v>0.25</v>
      </c>
      <c r="O29" s="33"/>
      <c r="P29" s="32">
        <v>316000</v>
      </c>
      <c r="Q29" s="32">
        <f t="shared" si="7"/>
        <v>43941.394711111105</v>
      </c>
      <c r="R29" s="32">
        <f t="shared" si="8"/>
        <v>13314.444444444445</v>
      </c>
      <c r="S29" s="32">
        <f t="shared" si="9"/>
        <v>0</v>
      </c>
      <c r="T29" s="32">
        <f t="shared" si="10"/>
        <v>373255.83915555553</v>
      </c>
      <c r="U29" s="155"/>
      <c r="V29" s="155"/>
      <c r="W29" s="155"/>
      <c r="X29" s="155"/>
      <c r="Y29" s="155"/>
    </row>
    <row r="30" spans="1:32" x14ac:dyDescent="0.25">
      <c r="A30" s="30">
        <f t="shared" si="17"/>
        <v>19</v>
      </c>
      <c r="B30" s="42">
        <f t="shared" si="18"/>
        <v>48228</v>
      </c>
      <c r="C30" s="31">
        <f t="shared" si="1"/>
        <v>48410</v>
      </c>
      <c r="D30" s="30">
        <f t="shared" si="4"/>
        <v>182</v>
      </c>
      <c r="E30" s="35"/>
      <c r="F30" s="32">
        <f t="shared" si="15"/>
        <v>10104000</v>
      </c>
      <c r="G30" s="33"/>
      <c r="H30" s="43">
        <f t="shared" si="19"/>
        <v>2.6315789473684212</v>
      </c>
      <c r="I30" s="139">
        <f t="shared" si="19"/>
        <v>8.5070000000000007E-2</v>
      </c>
      <c r="J30" s="34">
        <f t="shared" si="16"/>
        <v>0.5</v>
      </c>
      <c r="K30" s="34">
        <f t="shared" si="16"/>
        <v>0.14000000000000001</v>
      </c>
      <c r="L30" s="34">
        <f t="shared" si="16"/>
        <v>0.1</v>
      </c>
      <c r="M30" s="83">
        <f t="shared" si="16"/>
        <v>0.82506999999999997</v>
      </c>
      <c r="N30" s="34">
        <f t="shared" si="16"/>
        <v>0.25</v>
      </c>
      <c r="O30" s="33"/>
      <c r="P30" s="32">
        <v>316000</v>
      </c>
      <c r="Q30" s="32">
        <f t="shared" si="7"/>
        <v>42145.675693333331</v>
      </c>
      <c r="R30" s="32">
        <f t="shared" si="8"/>
        <v>12770.333333333334</v>
      </c>
      <c r="S30" s="32">
        <f t="shared" si="9"/>
        <v>0</v>
      </c>
      <c r="T30" s="32">
        <f t="shared" si="10"/>
        <v>370916.00902666664</v>
      </c>
      <c r="U30" s="155"/>
      <c r="V30" s="155"/>
      <c r="W30" s="155"/>
      <c r="X30" s="155"/>
      <c r="Y30" s="155"/>
    </row>
    <row r="31" spans="1:32" x14ac:dyDescent="0.25">
      <c r="A31" s="30">
        <f t="shared" si="17"/>
        <v>20</v>
      </c>
      <c r="B31" s="42">
        <f t="shared" si="18"/>
        <v>48410</v>
      </c>
      <c r="C31" s="31">
        <f t="shared" si="1"/>
        <v>48594</v>
      </c>
      <c r="D31" s="30">
        <f t="shared" si="4"/>
        <v>184</v>
      </c>
      <c r="E31" s="35"/>
      <c r="F31" s="32">
        <f t="shared" si="15"/>
        <v>9788000</v>
      </c>
      <c r="G31" s="33"/>
      <c r="H31" s="43">
        <f t="shared" si="19"/>
        <v>2.6315789473684212</v>
      </c>
      <c r="I31" s="139">
        <f t="shared" si="19"/>
        <v>8.5070000000000007E-2</v>
      </c>
      <c r="J31" s="34">
        <f t="shared" si="16"/>
        <v>0.5</v>
      </c>
      <c r="K31" s="34">
        <f t="shared" si="16"/>
        <v>0.14000000000000001</v>
      </c>
      <c r="L31" s="34">
        <f t="shared" si="16"/>
        <v>0.1</v>
      </c>
      <c r="M31" s="83">
        <f t="shared" si="16"/>
        <v>0.82506999999999997</v>
      </c>
      <c r="N31" s="34">
        <f t="shared" si="16"/>
        <v>0.25</v>
      </c>
      <c r="O31" s="33"/>
      <c r="P31" s="32">
        <v>316000</v>
      </c>
      <c r="Q31" s="32">
        <f t="shared" si="7"/>
        <v>41276.235262222224</v>
      </c>
      <c r="R31" s="32">
        <f t="shared" si="8"/>
        <v>12506.888888888889</v>
      </c>
      <c r="S31" s="32">
        <f t="shared" si="9"/>
        <v>0</v>
      </c>
      <c r="T31" s="32">
        <f t="shared" si="10"/>
        <v>369783.12415111111</v>
      </c>
      <c r="U31" s="155"/>
      <c r="V31" s="155"/>
      <c r="W31" s="155"/>
      <c r="X31" s="155"/>
      <c r="Y31" s="155"/>
    </row>
    <row r="32" spans="1:32" x14ac:dyDescent="0.25">
      <c r="A32" s="30">
        <f t="shared" si="17"/>
        <v>21</v>
      </c>
      <c r="B32" s="42">
        <f t="shared" si="18"/>
        <v>48594</v>
      </c>
      <c r="C32" s="31">
        <f t="shared" si="1"/>
        <v>48775</v>
      </c>
      <c r="D32" s="30">
        <f t="shared" si="4"/>
        <v>181</v>
      </c>
      <c r="E32" s="35"/>
      <c r="F32" s="32">
        <f t="shared" si="15"/>
        <v>9472000</v>
      </c>
      <c r="G32" s="33"/>
      <c r="H32" s="43">
        <f t="shared" si="19"/>
        <v>2.6315789473684212</v>
      </c>
      <c r="I32" s="139">
        <f t="shared" si="19"/>
        <v>8.5070000000000007E-2</v>
      </c>
      <c r="J32" s="34">
        <f t="shared" si="16"/>
        <v>0.5</v>
      </c>
      <c r="K32" s="34">
        <f t="shared" si="16"/>
        <v>0.14000000000000001</v>
      </c>
      <c r="L32" s="34">
        <f t="shared" si="16"/>
        <v>0.1</v>
      </c>
      <c r="M32" s="83">
        <f t="shared" si="16"/>
        <v>0.82506999999999997</v>
      </c>
      <c r="N32" s="34">
        <f t="shared" si="16"/>
        <v>0.25</v>
      </c>
      <c r="O32" s="33"/>
      <c r="P32" s="32">
        <v>316000</v>
      </c>
      <c r="Q32" s="32">
        <f t="shared" si="7"/>
        <v>39292.40028444444</v>
      </c>
      <c r="R32" s="32">
        <f t="shared" si="8"/>
        <v>11905.777777777777</v>
      </c>
      <c r="S32" s="32">
        <f t="shared" si="9"/>
        <v>0</v>
      </c>
      <c r="T32" s="32">
        <f t="shared" si="10"/>
        <v>367198.1780622222</v>
      </c>
      <c r="U32" s="155"/>
      <c r="V32" s="155"/>
      <c r="W32" s="155"/>
      <c r="X32" s="155"/>
      <c r="Y32" s="155"/>
    </row>
    <row r="33" spans="1:25" x14ac:dyDescent="0.25">
      <c r="A33" s="30">
        <f t="shared" si="17"/>
        <v>22</v>
      </c>
      <c r="B33" s="42">
        <f t="shared" si="18"/>
        <v>48775</v>
      </c>
      <c r="C33" s="31">
        <f t="shared" si="1"/>
        <v>48959</v>
      </c>
      <c r="D33" s="30">
        <f t="shared" si="4"/>
        <v>184</v>
      </c>
      <c r="E33" s="35"/>
      <c r="F33" s="32">
        <f t="shared" si="15"/>
        <v>9156000</v>
      </c>
      <c r="G33" s="33"/>
      <c r="H33" s="43">
        <f t="shared" si="19"/>
        <v>2.6315789473684212</v>
      </c>
      <c r="I33" s="139">
        <f t="shared" si="19"/>
        <v>8.5070000000000007E-2</v>
      </c>
      <c r="J33" s="34">
        <f t="shared" si="16"/>
        <v>0.5</v>
      </c>
      <c r="K33" s="34">
        <f t="shared" si="16"/>
        <v>0.14000000000000001</v>
      </c>
      <c r="L33" s="34">
        <f t="shared" si="16"/>
        <v>0.1</v>
      </c>
      <c r="M33" s="83">
        <f t="shared" si="16"/>
        <v>0.82506999999999997</v>
      </c>
      <c r="N33" s="34">
        <f t="shared" si="16"/>
        <v>0.25</v>
      </c>
      <c r="O33" s="33"/>
      <c r="P33" s="32">
        <v>316000</v>
      </c>
      <c r="Q33" s="32">
        <f t="shared" si="7"/>
        <v>38611.075813333329</v>
      </c>
      <c r="R33" s="32">
        <f t="shared" si="8"/>
        <v>11699.333333333334</v>
      </c>
      <c r="S33" s="32">
        <f t="shared" si="9"/>
        <v>0</v>
      </c>
      <c r="T33" s="32">
        <f t="shared" si="10"/>
        <v>366310.40914666664</v>
      </c>
      <c r="U33" s="155"/>
      <c r="V33" s="155"/>
      <c r="W33" s="155"/>
      <c r="X33" s="155"/>
      <c r="Y33" s="155"/>
    </row>
    <row r="34" spans="1:25" x14ac:dyDescent="0.25">
      <c r="A34" s="30">
        <f t="shared" si="17"/>
        <v>23</v>
      </c>
      <c r="B34" s="42">
        <f t="shared" si="18"/>
        <v>48959</v>
      </c>
      <c r="C34" s="31">
        <f t="shared" si="1"/>
        <v>49140</v>
      </c>
      <c r="D34" s="30">
        <f t="shared" si="4"/>
        <v>181</v>
      </c>
      <c r="E34" s="35"/>
      <c r="F34" s="32">
        <f t="shared" si="15"/>
        <v>8840000</v>
      </c>
      <c r="G34" s="33"/>
      <c r="H34" s="43">
        <f t="shared" si="19"/>
        <v>2.6315789473684212</v>
      </c>
      <c r="I34" s="139">
        <f t="shared" si="19"/>
        <v>8.5070000000000007E-2</v>
      </c>
      <c r="J34" s="34">
        <f t="shared" si="16"/>
        <v>0.5</v>
      </c>
      <c r="K34" s="34">
        <f t="shared" si="16"/>
        <v>0.14000000000000001</v>
      </c>
      <c r="L34" s="34">
        <f t="shared" si="16"/>
        <v>0.1</v>
      </c>
      <c r="M34" s="83">
        <f t="shared" si="16"/>
        <v>0.82506999999999997</v>
      </c>
      <c r="N34" s="34">
        <f t="shared" si="16"/>
        <v>0.25</v>
      </c>
      <c r="O34" s="33"/>
      <c r="P34" s="32">
        <v>316000</v>
      </c>
      <c r="Q34" s="32">
        <f t="shared" si="7"/>
        <v>36670.69452222222</v>
      </c>
      <c r="R34" s="32">
        <f t="shared" si="8"/>
        <v>11111.388888888889</v>
      </c>
      <c r="S34" s="32">
        <f t="shared" si="9"/>
        <v>0</v>
      </c>
      <c r="T34" s="32">
        <f t="shared" si="10"/>
        <v>363782.08341111109</v>
      </c>
      <c r="U34" s="155"/>
      <c r="V34" s="155"/>
      <c r="W34" s="155"/>
      <c r="X34" s="155"/>
      <c r="Y34" s="155"/>
    </row>
    <row r="35" spans="1:25" x14ac:dyDescent="0.25">
      <c r="A35" s="30">
        <f t="shared" si="17"/>
        <v>24</v>
      </c>
      <c r="B35" s="42">
        <f t="shared" si="18"/>
        <v>49140</v>
      </c>
      <c r="C35" s="31">
        <f t="shared" si="1"/>
        <v>49324</v>
      </c>
      <c r="D35" s="30">
        <f t="shared" si="4"/>
        <v>184</v>
      </c>
      <c r="E35" s="35"/>
      <c r="F35" s="32">
        <f t="shared" si="15"/>
        <v>8524000</v>
      </c>
      <c r="G35" s="33"/>
      <c r="H35" s="43">
        <f t="shared" si="19"/>
        <v>2.6315789473684212</v>
      </c>
      <c r="I35" s="139">
        <f t="shared" si="19"/>
        <v>8.5070000000000007E-2</v>
      </c>
      <c r="J35" s="34">
        <f t="shared" si="16"/>
        <v>0.5</v>
      </c>
      <c r="K35" s="34">
        <f t="shared" si="16"/>
        <v>0.14000000000000001</v>
      </c>
      <c r="L35" s="34">
        <f t="shared" si="16"/>
        <v>0.1</v>
      </c>
      <c r="M35" s="83">
        <f t="shared" si="16"/>
        <v>0.82506999999999997</v>
      </c>
      <c r="N35" s="34">
        <f t="shared" si="16"/>
        <v>0.25</v>
      </c>
      <c r="O35" s="33"/>
      <c r="P35" s="32">
        <v>316000</v>
      </c>
      <c r="Q35" s="32">
        <f t="shared" si="7"/>
        <v>35945.916364444442</v>
      </c>
      <c r="R35" s="32">
        <f t="shared" si="8"/>
        <v>10891.777777777777</v>
      </c>
      <c r="S35" s="32">
        <f t="shared" si="9"/>
        <v>0</v>
      </c>
      <c r="T35" s="32">
        <f t="shared" si="10"/>
        <v>362837.69414222217</v>
      </c>
      <c r="U35" s="155"/>
      <c r="V35" s="155"/>
      <c r="W35" s="155"/>
      <c r="X35" s="155"/>
      <c r="Y35" s="155"/>
    </row>
    <row r="36" spans="1:25" x14ac:dyDescent="0.25">
      <c r="A36" s="30">
        <f t="shared" si="17"/>
        <v>25</v>
      </c>
      <c r="B36" s="42">
        <f t="shared" si="18"/>
        <v>49324</v>
      </c>
      <c r="C36" s="31">
        <f t="shared" si="1"/>
        <v>49505</v>
      </c>
      <c r="D36" s="30">
        <f t="shared" si="4"/>
        <v>181</v>
      </c>
      <c r="E36" s="35"/>
      <c r="F36" s="32">
        <f t="shared" si="15"/>
        <v>8208000</v>
      </c>
      <c r="G36" s="33"/>
      <c r="H36" s="43">
        <f t="shared" si="19"/>
        <v>2.6315789473684212</v>
      </c>
      <c r="I36" s="139">
        <f t="shared" si="19"/>
        <v>8.5070000000000007E-2</v>
      </c>
      <c r="J36" s="34">
        <f t="shared" si="16"/>
        <v>0.5</v>
      </c>
      <c r="K36" s="34">
        <f t="shared" si="16"/>
        <v>0.14000000000000001</v>
      </c>
      <c r="L36" s="34">
        <f t="shared" si="16"/>
        <v>0.1</v>
      </c>
      <c r="M36" s="83">
        <f t="shared" si="16"/>
        <v>0.82506999999999997</v>
      </c>
      <c r="N36" s="34">
        <f t="shared" si="16"/>
        <v>0.25</v>
      </c>
      <c r="O36" s="33"/>
      <c r="P36" s="32">
        <v>316000</v>
      </c>
      <c r="Q36" s="32">
        <f t="shared" si="7"/>
        <v>34048.988759999993</v>
      </c>
      <c r="R36" s="32">
        <f t="shared" si="8"/>
        <v>10317</v>
      </c>
      <c r="S36" s="32">
        <f t="shared" si="9"/>
        <v>0</v>
      </c>
      <c r="T36" s="32">
        <f t="shared" si="10"/>
        <v>360365.98875999998</v>
      </c>
      <c r="U36" s="155"/>
      <c r="V36" s="155"/>
      <c r="W36" s="155"/>
      <c r="X36" s="155"/>
      <c r="Y36" s="155"/>
    </row>
    <row r="37" spans="1:25" x14ac:dyDescent="0.25">
      <c r="A37" s="30">
        <f t="shared" si="17"/>
        <v>26</v>
      </c>
      <c r="B37" s="42">
        <f t="shared" si="18"/>
        <v>49505</v>
      </c>
      <c r="C37" s="31">
        <f t="shared" si="1"/>
        <v>49689</v>
      </c>
      <c r="D37" s="30">
        <f t="shared" si="4"/>
        <v>184</v>
      </c>
      <c r="E37" s="35"/>
      <c r="F37" s="32">
        <f t="shared" si="15"/>
        <v>7892000</v>
      </c>
      <c r="G37" s="33"/>
      <c r="H37" s="43">
        <f t="shared" si="19"/>
        <v>2.6315789473684212</v>
      </c>
      <c r="I37" s="139">
        <f t="shared" si="19"/>
        <v>8.5070000000000007E-2</v>
      </c>
      <c r="J37" s="34">
        <f t="shared" si="16"/>
        <v>0.5</v>
      </c>
      <c r="K37" s="34">
        <f t="shared" si="16"/>
        <v>0.14000000000000001</v>
      </c>
      <c r="L37" s="34">
        <f t="shared" si="16"/>
        <v>0.1</v>
      </c>
      <c r="M37" s="83">
        <f t="shared" si="16"/>
        <v>0.82506999999999997</v>
      </c>
      <c r="N37" s="34">
        <f t="shared" si="16"/>
        <v>0.25</v>
      </c>
      <c r="O37" s="33"/>
      <c r="P37" s="32">
        <v>316000</v>
      </c>
      <c r="Q37" s="32">
        <f t="shared" si="7"/>
        <v>33280.756915555554</v>
      </c>
      <c r="R37" s="32">
        <f t="shared" si="8"/>
        <v>10084.222222222223</v>
      </c>
      <c r="S37" s="32">
        <f t="shared" si="9"/>
        <v>0</v>
      </c>
      <c r="T37" s="32">
        <f t="shared" si="10"/>
        <v>359364.97913777782</v>
      </c>
      <c r="U37" s="155"/>
      <c r="V37" s="155"/>
      <c r="W37" s="155"/>
      <c r="X37" s="155"/>
      <c r="Y37" s="155"/>
    </row>
    <row r="38" spans="1:25" x14ac:dyDescent="0.25">
      <c r="A38" s="30">
        <f t="shared" si="17"/>
        <v>27</v>
      </c>
      <c r="B38" s="42">
        <f t="shared" si="18"/>
        <v>49689</v>
      </c>
      <c r="C38" s="31">
        <f t="shared" si="1"/>
        <v>49871</v>
      </c>
      <c r="D38" s="30">
        <f t="shared" si="4"/>
        <v>182</v>
      </c>
      <c r="E38" s="35"/>
      <c r="F38" s="32">
        <f t="shared" si="15"/>
        <v>7576000</v>
      </c>
      <c r="G38" s="33"/>
      <c r="H38" s="43">
        <f t="shared" si="19"/>
        <v>2.6315789473684212</v>
      </c>
      <c r="I38" s="139">
        <f t="shared" si="19"/>
        <v>8.5070000000000007E-2</v>
      </c>
      <c r="J38" s="34">
        <f t="shared" si="16"/>
        <v>0.5</v>
      </c>
      <c r="K38" s="34">
        <f t="shared" si="16"/>
        <v>0.14000000000000001</v>
      </c>
      <c r="L38" s="34">
        <f t="shared" si="16"/>
        <v>0.1</v>
      </c>
      <c r="M38" s="83">
        <f t="shared" si="16"/>
        <v>0.82506999999999997</v>
      </c>
      <c r="N38" s="34">
        <f t="shared" si="16"/>
        <v>0.25</v>
      </c>
      <c r="O38" s="33"/>
      <c r="P38" s="32">
        <v>316000</v>
      </c>
      <c r="Q38" s="32">
        <f t="shared" si="7"/>
        <v>31600.914395555556</v>
      </c>
      <c r="R38" s="32">
        <f t="shared" si="8"/>
        <v>9575.2222222222226</v>
      </c>
      <c r="S38" s="32">
        <f t="shared" si="9"/>
        <v>0</v>
      </c>
      <c r="T38" s="32">
        <f t="shared" si="10"/>
        <v>357176.13661777781</v>
      </c>
      <c r="U38" s="155"/>
      <c r="V38" s="155"/>
      <c r="W38" s="155"/>
      <c r="X38" s="155"/>
      <c r="Y38" s="155"/>
    </row>
    <row r="39" spans="1:25" x14ac:dyDescent="0.25">
      <c r="A39" s="30">
        <f t="shared" si="17"/>
        <v>28</v>
      </c>
      <c r="B39" s="42">
        <f t="shared" si="18"/>
        <v>49871</v>
      </c>
      <c r="C39" s="31">
        <f t="shared" si="1"/>
        <v>50055</v>
      </c>
      <c r="D39" s="30">
        <f t="shared" si="4"/>
        <v>184</v>
      </c>
      <c r="E39" s="35"/>
      <c r="F39" s="32">
        <f t="shared" si="15"/>
        <v>7260000</v>
      </c>
      <c r="G39" s="33"/>
      <c r="H39" s="43">
        <f t="shared" si="19"/>
        <v>2.6315789473684212</v>
      </c>
      <c r="I39" s="139">
        <f t="shared" si="19"/>
        <v>8.5070000000000007E-2</v>
      </c>
      <c r="J39" s="34">
        <f t="shared" si="16"/>
        <v>0.5</v>
      </c>
      <c r="K39" s="34">
        <f t="shared" si="16"/>
        <v>0.14000000000000001</v>
      </c>
      <c r="L39" s="34">
        <f t="shared" si="16"/>
        <v>0.1</v>
      </c>
      <c r="M39" s="83">
        <f t="shared" si="16"/>
        <v>0.82506999999999997</v>
      </c>
      <c r="N39" s="34">
        <f t="shared" si="16"/>
        <v>0.25</v>
      </c>
      <c r="O39" s="33"/>
      <c r="P39" s="32">
        <v>316000</v>
      </c>
      <c r="Q39" s="32">
        <f t="shared" si="7"/>
        <v>30615.597466666666</v>
      </c>
      <c r="R39" s="32">
        <f t="shared" si="8"/>
        <v>9276.6666666666661</v>
      </c>
      <c r="S39" s="32">
        <f t="shared" si="9"/>
        <v>0</v>
      </c>
      <c r="T39" s="32">
        <f t="shared" si="10"/>
        <v>355892.26413333334</v>
      </c>
      <c r="U39" s="155"/>
      <c r="V39" s="155"/>
      <c r="W39" s="155"/>
      <c r="X39" s="155"/>
      <c r="Y39" s="155"/>
    </row>
    <row r="40" spans="1:25" x14ac:dyDescent="0.25">
      <c r="A40" s="30">
        <f t="shared" si="17"/>
        <v>29</v>
      </c>
      <c r="B40" s="42">
        <f t="shared" si="18"/>
        <v>50055</v>
      </c>
      <c r="C40" s="31">
        <f t="shared" si="1"/>
        <v>50236</v>
      </c>
      <c r="D40" s="30">
        <f t="shared" si="4"/>
        <v>181</v>
      </c>
      <c r="E40" s="35"/>
      <c r="F40" s="32">
        <f t="shared" si="15"/>
        <v>6944000</v>
      </c>
      <c r="G40" s="33"/>
      <c r="H40" s="43">
        <f t="shared" si="19"/>
        <v>2.6315789473684212</v>
      </c>
      <c r="I40" s="139">
        <f t="shared" si="19"/>
        <v>8.5070000000000007E-2</v>
      </c>
      <c r="J40" s="34">
        <f t="shared" si="16"/>
        <v>0.5</v>
      </c>
      <c r="K40" s="34">
        <f t="shared" si="16"/>
        <v>0.14000000000000001</v>
      </c>
      <c r="L40" s="34">
        <f t="shared" si="16"/>
        <v>0.1</v>
      </c>
      <c r="M40" s="83">
        <f t="shared" si="16"/>
        <v>0.82506999999999997</v>
      </c>
      <c r="N40" s="34">
        <f t="shared" si="16"/>
        <v>0.25</v>
      </c>
      <c r="O40" s="33"/>
      <c r="P40" s="32">
        <v>316000</v>
      </c>
      <c r="Q40" s="32">
        <f t="shared" si="7"/>
        <v>28805.577235555549</v>
      </c>
      <c r="R40" s="32">
        <f t="shared" si="8"/>
        <v>8728.2222222222226</v>
      </c>
      <c r="S40" s="32">
        <f t="shared" si="9"/>
        <v>0</v>
      </c>
      <c r="T40" s="32">
        <f t="shared" si="10"/>
        <v>353533.79945777782</v>
      </c>
      <c r="U40" s="155"/>
      <c r="V40" s="155"/>
      <c r="W40" s="155"/>
      <c r="X40" s="155"/>
      <c r="Y40" s="155"/>
    </row>
    <row r="41" spans="1:25" x14ac:dyDescent="0.25">
      <c r="A41" s="30">
        <f t="shared" si="17"/>
        <v>30</v>
      </c>
      <c r="B41" s="42">
        <f t="shared" si="18"/>
        <v>50236</v>
      </c>
      <c r="C41" s="31">
        <f t="shared" si="1"/>
        <v>50420</v>
      </c>
      <c r="D41" s="30">
        <f t="shared" si="4"/>
        <v>184</v>
      </c>
      <c r="E41" s="35"/>
      <c r="F41" s="32">
        <f t="shared" si="15"/>
        <v>6628000</v>
      </c>
      <c r="G41" s="33"/>
      <c r="H41" s="43">
        <f t="shared" si="19"/>
        <v>2.6315789473684212</v>
      </c>
      <c r="I41" s="139">
        <f t="shared" si="19"/>
        <v>8.5070000000000007E-2</v>
      </c>
      <c r="J41" s="34">
        <f t="shared" si="19"/>
        <v>0.5</v>
      </c>
      <c r="K41" s="34">
        <f t="shared" si="19"/>
        <v>0.14000000000000001</v>
      </c>
      <c r="L41" s="34">
        <f t="shared" si="19"/>
        <v>0.1</v>
      </c>
      <c r="M41" s="83">
        <f t="shared" si="19"/>
        <v>0.82506999999999997</v>
      </c>
      <c r="N41" s="34">
        <f t="shared" si="19"/>
        <v>0.25</v>
      </c>
      <c r="O41" s="33"/>
      <c r="P41" s="32">
        <v>316000</v>
      </c>
      <c r="Q41" s="32">
        <f t="shared" si="7"/>
        <v>27950.438017777778</v>
      </c>
      <c r="R41" s="32">
        <f t="shared" si="8"/>
        <v>8469.1111111111113</v>
      </c>
      <c r="S41" s="32">
        <f t="shared" si="9"/>
        <v>0</v>
      </c>
      <c r="T41" s="32">
        <f t="shared" si="10"/>
        <v>352419.54912888887</v>
      </c>
      <c r="U41" s="155"/>
      <c r="V41" s="155"/>
      <c r="W41" s="155"/>
      <c r="X41" s="155"/>
      <c r="Y41" s="155"/>
    </row>
    <row r="42" spans="1:25" x14ac:dyDescent="0.25">
      <c r="A42" s="30">
        <f t="shared" si="17"/>
        <v>31</v>
      </c>
      <c r="B42" s="42">
        <f t="shared" si="18"/>
        <v>50420</v>
      </c>
      <c r="C42" s="31">
        <f t="shared" si="1"/>
        <v>50601</v>
      </c>
      <c r="D42" s="30">
        <f t="shared" si="4"/>
        <v>181</v>
      </c>
      <c r="E42" s="35"/>
      <c r="F42" s="32">
        <f t="shared" si="15"/>
        <v>6312000</v>
      </c>
      <c r="G42" s="33"/>
      <c r="H42" s="43">
        <f t="shared" si="19"/>
        <v>2.6315789473684212</v>
      </c>
      <c r="I42" s="139">
        <f t="shared" si="19"/>
        <v>8.5070000000000007E-2</v>
      </c>
      <c r="J42" s="34">
        <f t="shared" si="19"/>
        <v>0.5</v>
      </c>
      <c r="K42" s="34">
        <f t="shared" si="19"/>
        <v>0.14000000000000001</v>
      </c>
      <c r="L42" s="34">
        <f t="shared" si="19"/>
        <v>0.1</v>
      </c>
      <c r="M42" s="83">
        <f t="shared" si="19"/>
        <v>0.82506999999999997</v>
      </c>
      <c r="N42" s="34">
        <f t="shared" si="19"/>
        <v>0.25</v>
      </c>
      <c r="O42" s="33"/>
      <c r="P42" s="32">
        <v>316000</v>
      </c>
      <c r="Q42" s="32">
        <f t="shared" si="7"/>
        <v>26183.871473333333</v>
      </c>
      <c r="R42" s="32">
        <f t="shared" si="8"/>
        <v>7933.833333333333</v>
      </c>
      <c r="S42" s="32">
        <f t="shared" si="9"/>
        <v>0</v>
      </c>
      <c r="T42" s="32">
        <f t="shared" si="10"/>
        <v>350117.70480666665</v>
      </c>
      <c r="U42" s="155"/>
      <c r="V42" s="155"/>
      <c r="W42" s="155"/>
      <c r="X42" s="155"/>
      <c r="Y42" s="155"/>
    </row>
    <row r="43" spans="1:25" x14ac:dyDescent="0.25">
      <c r="A43" s="30">
        <f t="shared" si="17"/>
        <v>32</v>
      </c>
      <c r="B43" s="42">
        <f t="shared" si="18"/>
        <v>50601</v>
      </c>
      <c r="C43" s="31">
        <f t="shared" si="1"/>
        <v>50785</v>
      </c>
      <c r="D43" s="30">
        <f t="shared" si="4"/>
        <v>184</v>
      </c>
      <c r="E43" s="35"/>
      <c r="F43" s="32">
        <f t="shared" si="15"/>
        <v>5996000</v>
      </c>
      <c r="G43" s="33"/>
      <c r="H43" s="43">
        <f t="shared" si="19"/>
        <v>2.6315789473684212</v>
      </c>
      <c r="I43" s="139">
        <f t="shared" si="19"/>
        <v>8.5070000000000007E-2</v>
      </c>
      <c r="J43" s="34">
        <f t="shared" si="19"/>
        <v>0.5</v>
      </c>
      <c r="K43" s="34">
        <f t="shared" si="19"/>
        <v>0.14000000000000001</v>
      </c>
      <c r="L43" s="34">
        <f t="shared" si="19"/>
        <v>0.1</v>
      </c>
      <c r="M43" s="83">
        <f t="shared" si="19"/>
        <v>0.82506999999999997</v>
      </c>
      <c r="N43" s="34">
        <f t="shared" si="19"/>
        <v>0.25</v>
      </c>
      <c r="O43" s="33"/>
      <c r="P43" s="32">
        <v>316000</v>
      </c>
      <c r="Q43" s="32">
        <f t="shared" si="7"/>
        <v>25285.278568888883</v>
      </c>
      <c r="R43" s="32">
        <f t="shared" si="8"/>
        <v>7661.5555555555557</v>
      </c>
      <c r="S43" s="32">
        <f t="shared" si="9"/>
        <v>0</v>
      </c>
      <c r="T43" s="32">
        <f t="shared" si="10"/>
        <v>348946.83412444446</v>
      </c>
      <c r="U43" s="155"/>
      <c r="V43" s="155"/>
      <c r="W43" s="155"/>
      <c r="X43" s="155"/>
      <c r="Y43" s="155"/>
    </row>
    <row r="44" spans="1:25" x14ac:dyDescent="0.25">
      <c r="A44" s="30">
        <f t="shared" si="17"/>
        <v>33</v>
      </c>
      <c r="B44" s="42">
        <f t="shared" si="18"/>
        <v>50785</v>
      </c>
      <c r="C44" s="31">
        <f t="shared" si="1"/>
        <v>50966</v>
      </c>
      <c r="D44" s="30">
        <f t="shared" si="4"/>
        <v>181</v>
      </c>
      <c r="E44" s="35"/>
      <c r="F44" s="32">
        <f t="shared" si="15"/>
        <v>5680000</v>
      </c>
      <c r="G44" s="33"/>
      <c r="H44" s="43">
        <f t="shared" si="19"/>
        <v>2.6315789473684212</v>
      </c>
      <c r="I44" s="139">
        <f t="shared" si="19"/>
        <v>8.5070000000000007E-2</v>
      </c>
      <c r="J44" s="34">
        <f t="shared" si="19"/>
        <v>0.5</v>
      </c>
      <c r="K44" s="34">
        <f t="shared" si="19"/>
        <v>0.14000000000000001</v>
      </c>
      <c r="L44" s="34">
        <f t="shared" si="19"/>
        <v>0.1</v>
      </c>
      <c r="M44" s="83">
        <f t="shared" si="19"/>
        <v>0.82506999999999997</v>
      </c>
      <c r="N44" s="34">
        <f t="shared" si="19"/>
        <v>0.25</v>
      </c>
      <c r="O44" s="33"/>
      <c r="P44" s="32">
        <v>316000</v>
      </c>
      <c r="Q44" s="32">
        <f t="shared" si="7"/>
        <v>23562.165711111109</v>
      </c>
      <c r="R44" s="32">
        <f t="shared" si="8"/>
        <v>7139.4444444444443</v>
      </c>
      <c r="S44" s="32">
        <f t="shared" si="9"/>
        <v>0</v>
      </c>
      <c r="T44" s="32">
        <f t="shared" si="10"/>
        <v>346701.61015555554</v>
      </c>
      <c r="U44" s="155"/>
      <c r="V44" s="155"/>
      <c r="W44" s="155"/>
      <c r="X44" s="155"/>
      <c r="Y44" s="155"/>
    </row>
    <row r="45" spans="1:25" x14ac:dyDescent="0.25">
      <c r="A45" s="30">
        <f t="shared" si="17"/>
        <v>34</v>
      </c>
      <c r="B45" s="42">
        <f t="shared" si="18"/>
        <v>50966</v>
      </c>
      <c r="C45" s="31">
        <f t="shared" si="1"/>
        <v>51150</v>
      </c>
      <c r="D45" s="30">
        <f t="shared" si="4"/>
        <v>184</v>
      </c>
      <c r="E45" s="35"/>
      <c r="F45" s="32">
        <f t="shared" si="15"/>
        <v>5364000</v>
      </c>
      <c r="G45" s="33"/>
      <c r="H45" s="43">
        <f t="shared" si="19"/>
        <v>2.6315789473684212</v>
      </c>
      <c r="I45" s="139">
        <f t="shared" si="19"/>
        <v>8.5070000000000007E-2</v>
      </c>
      <c r="J45" s="34">
        <f t="shared" si="19"/>
        <v>0.5</v>
      </c>
      <c r="K45" s="34">
        <f t="shared" si="19"/>
        <v>0.14000000000000001</v>
      </c>
      <c r="L45" s="34">
        <f t="shared" si="19"/>
        <v>0.1</v>
      </c>
      <c r="M45" s="83">
        <f t="shared" si="19"/>
        <v>0.82506999999999997</v>
      </c>
      <c r="N45" s="34">
        <f t="shared" si="19"/>
        <v>0.25</v>
      </c>
      <c r="O45" s="33"/>
      <c r="P45" s="32">
        <v>316000</v>
      </c>
      <c r="Q45" s="32">
        <f t="shared" si="7"/>
        <v>22620.119119999996</v>
      </c>
      <c r="R45" s="32">
        <f t="shared" si="8"/>
        <v>6854</v>
      </c>
      <c r="S45" s="32">
        <f t="shared" si="9"/>
        <v>0</v>
      </c>
      <c r="T45" s="32">
        <f t="shared" si="10"/>
        <v>345474.11911999999</v>
      </c>
      <c r="U45" s="155"/>
      <c r="V45" s="155"/>
      <c r="W45" s="155"/>
      <c r="X45" s="155"/>
      <c r="Y45" s="155"/>
    </row>
    <row r="46" spans="1:25" x14ac:dyDescent="0.25">
      <c r="A46" s="30">
        <f t="shared" si="17"/>
        <v>35</v>
      </c>
      <c r="B46" s="42">
        <f t="shared" si="18"/>
        <v>51150</v>
      </c>
      <c r="C46" s="31">
        <f t="shared" si="1"/>
        <v>51332</v>
      </c>
      <c r="D46" s="30">
        <f t="shared" si="4"/>
        <v>182</v>
      </c>
      <c r="E46" s="44"/>
      <c r="F46" s="32">
        <f t="shared" si="15"/>
        <v>5048000</v>
      </c>
      <c r="G46" s="33"/>
      <c r="H46" s="43">
        <f t="shared" si="19"/>
        <v>2.6315789473684212</v>
      </c>
      <c r="I46" s="139">
        <f t="shared" si="19"/>
        <v>8.5070000000000007E-2</v>
      </c>
      <c r="J46" s="34">
        <f t="shared" si="19"/>
        <v>0.5</v>
      </c>
      <c r="K46" s="34">
        <f t="shared" si="19"/>
        <v>0.14000000000000001</v>
      </c>
      <c r="L46" s="34">
        <f t="shared" si="19"/>
        <v>0.1</v>
      </c>
      <c r="M46" s="83">
        <f t="shared" si="19"/>
        <v>0.82506999999999997</v>
      </c>
      <c r="N46" s="34">
        <f t="shared" si="19"/>
        <v>0.25</v>
      </c>
      <c r="O46" s="33"/>
      <c r="P46" s="32">
        <v>316000</v>
      </c>
      <c r="Q46" s="32">
        <f t="shared" si="7"/>
        <v>21056.153097777777</v>
      </c>
      <c r="R46" s="32">
        <f t="shared" si="8"/>
        <v>6380.1111111111113</v>
      </c>
      <c r="S46" s="32">
        <f t="shared" si="9"/>
        <v>0</v>
      </c>
      <c r="T46" s="32">
        <f t="shared" si="10"/>
        <v>343436.26420888893</v>
      </c>
      <c r="U46" s="155"/>
      <c r="V46" s="155"/>
      <c r="W46" s="155"/>
      <c r="X46" s="155"/>
      <c r="Y46" s="155"/>
    </row>
    <row r="47" spans="1:25" x14ac:dyDescent="0.25">
      <c r="A47" s="30">
        <f t="shared" si="17"/>
        <v>36</v>
      </c>
      <c r="B47" s="42">
        <f t="shared" si="18"/>
        <v>51332</v>
      </c>
      <c r="C47" s="31">
        <f t="shared" si="1"/>
        <v>51516</v>
      </c>
      <c r="D47" s="30">
        <f t="shared" si="4"/>
        <v>184</v>
      </c>
      <c r="E47" s="44"/>
      <c r="F47" s="32">
        <f t="shared" si="15"/>
        <v>4732000</v>
      </c>
      <c r="G47" s="33"/>
      <c r="H47" s="43">
        <f t="shared" si="19"/>
        <v>2.6315789473684212</v>
      </c>
      <c r="I47" s="139">
        <f t="shared" si="19"/>
        <v>8.5070000000000007E-2</v>
      </c>
      <c r="J47" s="34">
        <f t="shared" si="19"/>
        <v>0.5</v>
      </c>
      <c r="K47" s="34">
        <f t="shared" si="19"/>
        <v>0.14000000000000001</v>
      </c>
      <c r="L47" s="34">
        <f t="shared" si="19"/>
        <v>0.1</v>
      </c>
      <c r="M47" s="83">
        <f t="shared" si="19"/>
        <v>0.82506999999999997</v>
      </c>
      <c r="N47" s="34">
        <f t="shared" si="19"/>
        <v>0.25</v>
      </c>
      <c r="O47" s="33"/>
      <c r="P47" s="32">
        <v>316000</v>
      </c>
      <c r="Q47" s="32">
        <f t="shared" si="7"/>
        <v>19954.959671111112</v>
      </c>
      <c r="R47" s="32">
        <f t="shared" si="8"/>
        <v>6046.4444444444443</v>
      </c>
      <c r="S47" s="32">
        <f t="shared" si="9"/>
        <v>0</v>
      </c>
      <c r="T47" s="32">
        <f t="shared" si="10"/>
        <v>342001.40411555558</v>
      </c>
      <c r="U47" s="155"/>
      <c r="V47" s="155"/>
      <c r="W47" s="155"/>
      <c r="X47" s="155"/>
      <c r="Y47" s="155"/>
    </row>
    <row r="48" spans="1:25" x14ac:dyDescent="0.25">
      <c r="A48" s="30">
        <f t="shared" si="17"/>
        <v>37</v>
      </c>
      <c r="B48" s="42">
        <f t="shared" si="18"/>
        <v>51516</v>
      </c>
      <c r="C48" s="31">
        <f t="shared" si="1"/>
        <v>51697</v>
      </c>
      <c r="D48" s="30">
        <f t="shared" si="4"/>
        <v>181</v>
      </c>
      <c r="E48" s="44"/>
      <c r="F48" s="32">
        <f t="shared" si="15"/>
        <v>4416000</v>
      </c>
      <c r="G48" s="33"/>
      <c r="H48" s="43">
        <f t="shared" si="19"/>
        <v>2.6315789473684212</v>
      </c>
      <c r="I48" s="139">
        <f t="shared" si="19"/>
        <v>8.5070000000000007E-2</v>
      </c>
      <c r="J48" s="34">
        <f t="shared" si="19"/>
        <v>0.5</v>
      </c>
      <c r="K48" s="34">
        <f t="shared" si="19"/>
        <v>0.14000000000000001</v>
      </c>
      <c r="L48" s="34">
        <f t="shared" si="19"/>
        <v>0.1</v>
      </c>
      <c r="M48" s="83">
        <f t="shared" si="19"/>
        <v>0.82506999999999997</v>
      </c>
      <c r="N48" s="34">
        <f t="shared" si="19"/>
        <v>0.25</v>
      </c>
      <c r="O48" s="33"/>
      <c r="P48" s="32">
        <v>316000</v>
      </c>
      <c r="Q48" s="32">
        <f t="shared" si="7"/>
        <v>18318.754186666665</v>
      </c>
      <c r="R48" s="32">
        <f t="shared" si="8"/>
        <v>5550.666666666667</v>
      </c>
      <c r="S48" s="32">
        <f t="shared" si="9"/>
        <v>0</v>
      </c>
      <c r="T48" s="32">
        <f t="shared" si="10"/>
        <v>339869.42085333337</v>
      </c>
      <c r="U48" s="155"/>
      <c r="V48" s="155"/>
      <c r="W48" s="155"/>
      <c r="X48" s="155"/>
      <c r="Y48" s="155"/>
    </row>
    <row r="49" spans="1:29" x14ac:dyDescent="0.25">
      <c r="A49" s="30">
        <f t="shared" si="17"/>
        <v>38</v>
      </c>
      <c r="B49" s="42">
        <f t="shared" si="18"/>
        <v>51697</v>
      </c>
      <c r="C49" s="31">
        <f t="shared" si="1"/>
        <v>51881</v>
      </c>
      <c r="D49" s="30">
        <f t="shared" si="4"/>
        <v>184</v>
      </c>
      <c r="E49" s="44"/>
      <c r="F49" s="32">
        <f t="shared" si="15"/>
        <v>4100000</v>
      </c>
      <c r="G49" s="33"/>
      <c r="H49" s="43">
        <f t="shared" si="19"/>
        <v>2.6315789473684212</v>
      </c>
      <c r="I49" s="139">
        <f t="shared" si="19"/>
        <v>8.5070000000000007E-2</v>
      </c>
      <c r="J49" s="34">
        <f t="shared" si="19"/>
        <v>0.5</v>
      </c>
      <c r="K49" s="34">
        <f t="shared" si="19"/>
        <v>0.14000000000000001</v>
      </c>
      <c r="L49" s="34">
        <f t="shared" si="19"/>
        <v>0.1</v>
      </c>
      <c r="M49" s="83">
        <f t="shared" si="19"/>
        <v>0.82506999999999997</v>
      </c>
      <c r="N49" s="34">
        <f t="shared" si="19"/>
        <v>0.25</v>
      </c>
      <c r="O49" s="33"/>
      <c r="P49" s="32">
        <v>316000</v>
      </c>
      <c r="Q49" s="32">
        <f t="shared" si="7"/>
        <v>17289.80022222222</v>
      </c>
      <c r="R49" s="32">
        <f t="shared" si="8"/>
        <v>5238.8888888888887</v>
      </c>
      <c r="S49" s="32">
        <f t="shared" si="9"/>
        <v>0</v>
      </c>
      <c r="T49" s="32">
        <f t="shared" si="10"/>
        <v>338528.6891111111</v>
      </c>
      <c r="U49" s="155"/>
      <c r="V49" s="155"/>
      <c r="W49" s="155"/>
      <c r="X49" s="155"/>
      <c r="Y49" s="155"/>
    </row>
    <row r="50" spans="1:29" x14ac:dyDescent="0.25">
      <c r="A50" s="30">
        <f t="shared" si="17"/>
        <v>39</v>
      </c>
      <c r="B50" s="42">
        <f t="shared" si="18"/>
        <v>51881</v>
      </c>
      <c r="C50" s="31">
        <f t="shared" si="1"/>
        <v>52062</v>
      </c>
      <c r="D50" s="30">
        <f t="shared" si="4"/>
        <v>181</v>
      </c>
      <c r="E50" s="44"/>
      <c r="F50" s="32">
        <f t="shared" si="15"/>
        <v>3784000</v>
      </c>
      <c r="G50" s="33"/>
      <c r="H50" s="43">
        <f t="shared" si="19"/>
        <v>2.6315789473684212</v>
      </c>
      <c r="I50" s="139">
        <f t="shared" si="19"/>
        <v>8.5070000000000007E-2</v>
      </c>
      <c r="J50" s="34">
        <f t="shared" si="19"/>
        <v>0.5</v>
      </c>
      <c r="K50" s="34">
        <f t="shared" si="19"/>
        <v>0.14000000000000001</v>
      </c>
      <c r="L50" s="34">
        <f t="shared" si="19"/>
        <v>0.1</v>
      </c>
      <c r="M50" s="83">
        <f t="shared" si="19"/>
        <v>0.82506999999999997</v>
      </c>
      <c r="N50" s="34">
        <f t="shared" si="19"/>
        <v>0.25</v>
      </c>
      <c r="O50" s="33"/>
      <c r="P50" s="32">
        <v>316000</v>
      </c>
      <c r="Q50" s="32">
        <f t="shared" si="7"/>
        <v>15697.048424444443</v>
      </c>
      <c r="R50" s="32">
        <f t="shared" si="8"/>
        <v>4756.2777777777774</v>
      </c>
      <c r="S50" s="32">
        <f t="shared" si="9"/>
        <v>0</v>
      </c>
      <c r="T50" s="32">
        <f t="shared" si="10"/>
        <v>336453.3262022222</v>
      </c>
      <c r="U50" s="155"/>
      <c r="V50" s="155"/>
      <c r="W50" s="155"/>
      <c r="X50" s="155"/>
      <c r="Y50" s="155"/>
    </row>
    <row r="51" spans="1:29" x14ac:dyDescent="0.25">
      <c r="A51" s="30">
        <f t="shared" si="17"/>
        <v>40</v>
      </c>
      <c r="B51" s="42">
        <f t="shared" si="18"/>
        <v>52062</v>
      </c>
      <c r="C51" s="31">
        <f t="shared" si="1"/>
        <v>52246</v>
      </c>
      <c r="D51" s="30">
        <f t="shared" si="4"/>
        <v>184</v>
      </c>
      <c r="E51" s="44"/>
      <c r="F51" s="32">
        <f t="shared" si="15"/>
        <v>3468000</v>
      </c>
      <c r="G51" s="33"/>
      <c r="H51" s="43">
        <f t="shared" si="19"/>
        <v>2.6315789473684212</v>
      </c>
      <c r="I51" s="139">
        <f t="shared" si="19"/>
        <v>8.5070000000000007E-2</v>
      </c>
      <c r="J51" s="34">
        <f t="shared" si="19"/>
        <v>0.5</v>
      </c>
      <c r="K51" s="34">
        <f t="shared" si="19"/>
        <v>0.14000000000000001</v>
      </c>
      <c r="L51" s="34">
        <f t="shared" si="19"/>
        <v>0.1</v>
      </c>
      <c r="M51" s="83">
        <f t="shared" si="19"/>
        <v>0.82506999999999997</v>
      </c>
      <c r="N51" s="34">
        <f t="shared" si="19"/>
        <v>0.25</v>
      </c>
      <c r="O51" s="33"/>
      <c r="P51" s="32">
        <v>316000</v>
      </c>
      <c r="Q51" s="32">
        <f t="shared" si="7"/>
        <v>14624.640773333333</v>
      </c>
      <c r="R51" s="32">
        <f t="shared" si="8"/>
        <v>4431.333333333333</v>
      </c>
      <c r="S51" s="32">
        <f t="shared" si="9"/>
        <v>0</v>
      </c>
      <c r="T51" s="32">
        <f t="shared" si="10"/>
        <v>335055.97410666663</v>
      </c>
      <c r="U51" s="155"/>
      <c r="V51" s="155"/>
      <c r="W51" s="155"/>
      <c r="X51" s="155"/>
      <c r="Y51" s="155"/>
    </row>
    <row r="52" spans="1:29" x14ac:dyDescent="0.25">
      <c r="A52" s="30">
        <f t="shared" si="17"/>
        <v>41</v>
      </c>
      <c r="B52" s="42">
        <f t="shared" si="18"/>
        <v>52246</v>
      </c>
      <c r="C52" s="31">
        <f t="shared" si="1"/>
        <v>52427</v>
      </c>
      <c r="D52" s="30">
        <f t="shared" si="4"/>
        <v>181</v>
      </c>
      <c r="E52" s="44"/>
      <c r="F52" s="32">
        <f t="shared" si="15"/>
        <v>3152000</v>
      </c>
      <c r="G52" s="33"/>
      <c r="H52" s="43">
        <f t="shared" si="19"/>
        <v>2.6315789473684212</v>
      </c>
      <c r="I52" s="139">
        <f t="shared" si="19"/>
        <v>8.5070000000000007E-2</v>
      </c>
      <c r="J52" s="34">
        <f t="shared" si="19"/>
        <v>0.5</v>
      </c>
      <c r="K52" s="34">
        <f t="shared" si="19"/>
        <v>0.14000000000000001</v>
      </c>
      <c r="L52" s="34">
        <f t="shared" si="19"/>
        <v>0.1</v>
      </c>
      <c r="M52" s="83">
        <f t="shared" si="19"/>
        <v>0.82506999999999997</v>
      </c>
      <c r="N52" s="34">
        <f t="shared" si="19"/>
        <v>0.25</v>
      </c>
      <c r="O52" s="33"/>
      <c r="P52" s="32">
        <v>316000</v>
      </c>
      <c r="Q52" s="32">
        <f t="shared" si="7"/>
        <v>13075.342662222223</v>
      </c>
      <c r="R52" s="32">
        <f t="shared" si="8"/>
        <v>3961.8888888888887</v>
      </c>
      <c r="S52" s="32">
        <f t="shared" si="9"/>
        <v>0</v>
      </c>
      <c r="T52" s="32">
        <f t="shared" si="10"/>
        <v>333037.23155111109</v>
      </c>
      <c r="U52" s="155"/>
      <c r="V52" s="155"/>
      <c r="W52" s="155"/>
      <c r="X52" s="155"/>
      <c r="Y52" s="155"/>
    </row>
    <row r="53" spans="1:29" x14ac:dyDescent="0.25">
      <c r="A53" s="30">
        <f t="shared" si="17"/>
        <v>42</v>
      </c>
      <c r="B53" s="42">
        <f t="shared" si="18"/>
        <v>52427</v>
      </c>
      <c r="C53" s="31">
        <f t="shared" si="1"/>
        <v>52611</v>
      </c>
      <c r="D53" s="30">
        <f t="shared" si="4"/>
        <v>184</v>
      </c>
      <c r="E53" s="44"/>
      <c r="F53" s="32">
        <f t="shared" si="15"/>
        <v>2836000</v>
      </c>
      <c r="G53" s="33"/>
      <c r="H53" s="43">
        <f t="shared" si="19"/>
        <v>2.6315789473684212</v>
      </c>
      <c r="I53" s="139">
        <f t="shared" si="19"/>
        <v>8.5070000000000007E-2</v>
      </c>
      <c r="J53" s="34">
        <f t="shared" si="19"/>
        <v>0.5</v>
      </c>
      <c r="K53" s="34">
        <f t="shared" si="19"/>
        <v>0.14000000000000001</v>
      </c>
      <c r="L53" s="34">
        <f t="shared" si="19"/>
        <v>0.1</v>
      </c>
      <c r="M53" s="83">
        <f t="shared" si="19"/>
        <v>0.82506999999999997</v>
      </c>
      <c r="N53" s="34">
        <f t="shared" si="19"/>
        <v>0.25</v>
      </c>
      <c r="O53" s="33"/>
      <c r="P53" s="32">
        <v>316000</v>
      </c>
      <c r="Q53" s="32">
        <f t="shared" si="7"/>
        <v>11959.481324444445</v>
      </c>
      <c r="R53" s="32">
        <f t="shared" si="8"/>
        <v>3623.7777777777778</v>
      </c>
      <c r="S53" s="32">
        <f t="shared" si="9"/>
        <v>0</v>
      </c>
      <c r="T53" s="32">
        <f t="shared" si="10"/>
        <v>331583.25910222222</v>
      </c>
      <c r="U53" s="155"/>
      <c r="V53" s="155"/>
      <c r="W53" s="155"/>
      <c r="X53" s="155"/>
      <c r="Y53" s="155"/>
    </row>
    <row r="54" spans="1:29" x14ac:dyDescent="0.25">
      <c r="A54" s="30">
        <f t="shared" si="17"/>
        <v>43</v>
      </c>
      <c r="B54" s="42">
        <f t="shared" si="18"/>
        <v>52611</v>
      </c>
      <c r="C54" s="31">
        <f t="shared" si="1"/>
        <v>52793</v>
      </c>
      <c r="D54" s="30">
        <f t="shared" si="4"/>
        <v>182</v>
      </c>
      <c r="E54" s="44"/>
      <c r="F54" s="32">
        <f t="shared" si="15"/>
        <v>2520000</v>
      </c>
      <c r="G54" s="33"/>
      <c r="H54" s="43">
        <f t="shared" si="19"/>
        <v>2.6315789473684212</v>
      </c>
      <c r="I54" s="139">
        <f t="shared" si="19"/>
        <v>8.5070000000000007E-2</v>
      </c>
      <c r="J54" s="34">
        <f t="shared" si="19"/>
        <v>0.5</v>
      </c>
      <c r="K54" s="34">
        <f t="shared" si="19"/>
        <v>0.14000000000000001</v>
      </c>
      <c r="L54" s="34">
        <f t="shared" si="19"/>
        <v>0.1</v>
      </c>
      <c r="M54" s="83">
        <f t="shared" si="19"/>
        <v>0.82506999999999997</v>
      </c>
      <c r="N54" s="34">
        <f t="shared" si="19"/>
        <v>0.25</v>
      </c>
      <c r="O54" s="33"/>
      <c r="P54" s="32">
        <v>316000</v>
      </c>
      <c r="Q54" s="32">
        <f t="shared" si="7"/>
        <v>10511.391799999999</v>
      </c>
      <c r="R54" s="32">
        <f t="shared" si="8"/>
        <v>3185</v>
      </c>
      <c r="S54" s="32">
        <f t="shared" si="9"/>
        <v>0</v>
      </c>
      <c r="T54" s="32">
        <f t="shared" si="10"/>
        <v>329696.39179999998</v>
      </c>
      <c r="U54" s="155"/>
      <c r="V54" s="155"/>
      <c r="W54" s="155"/>
      <c r="X54" s="155"/>
      <c r="Y54" s="155"/>
    </row>
    <row r="55" spans="1:29" x14ac:dyDescent="0.25">
      <c r="A55" s="30">
        <f t="shared" si="17"/>
        <v>44</v>
      </c>
      <c r="B55" s="42">
        <f t="shared" si="18"/>
        <v>52793</v>
      </c>
      <c r="C55" s="31">
        <f t="shared" si="1"/>
        <v>52977</v>
      </c>
      <c r="D55" s="30">
        <f t="shared" si="4"/>
        <v>184</v>
      </c>
      <c r="E55" s="44"/>
      <c r="F55" s="32">
        <f t="shared" si="15"/>
        <v>2204000</v>
      </c>
      <c r="G55" s="33"/>
      <c r="H55" s="43">
        <f t="shared" si="19"/>
        <v>2.6315789473684212</v>
      </c>
      <c r="I55" s="139">
        <f t="shared" si="19"/>
        <v>8.5070000000000007E-2</v>
      </c>
      <c r="J55" s="34">
        <f t="shared" si="19"/>
        <v>0.5</v>
      </c>
      <c r="K55" s="34">
        <f t="shared" si="19"/>
        <v>0.14000000000000001</v>
      </c>
      <c r="L55" s="34">
        <f t="shared" si="19"/>
        <v>0.1</v>
      </c>
      <c r="M55" s="83">
        <f t="shared" si="19"/>
        <v>0.82506999999999997</v>
      </c>
      <c r="N55" s="34">
        <f t="shared" si="19"/>
        <v>0.25</v>
      </c>
      <c r="O55" s="33"/>
      <c r="P55" s="32">
        <v>316000</v>
      </c>
      <c r="Q55" s="32">
        <f t="shared" si="7"/>
        <v>9294.3218755555554</v>
      </c>
      <c r="R55" s="32">
        <f t="shared" si="8"/>
        <v>2816.2222222222222</v>
      </c>
      <c r="S55" s="32">
        <f t="shared" si="9"/>
        <v>0</v>
      </c>
      <c r="T55" s="32">
        <f t="shared" si="10"/>
        <v>328110.54409777781</v>
      </c>
      <c r="U55" s="155"/>
      <c r="V55" s="155"/>
      <c r="W55" s="155"/>
      <c r="X55" s="155"/>
      <c r="Y55" s="155"/>
    </row>
    <row r="56" spans="1:29" x14ac:dyDescent="0.25">
      <c r="A56" s="30">
        <f t="shared" si="17"/>
        <v>45</v>
      </c>
      <c r="B56" s="42">
        <f t="shared" si="18"/>
        <v>52977</v>
      </c>
      <c r="C56" s="31">
        <f t="shared" si="1"/>
        <v>53158</v>
      </c>
      <c r="D56" s="30">
        <f t="shared" si="4"/>
        <v>181</v>
      </c>
      <c r="E56" s="44"/>
      <c r="F56" s="32">
        <f t="shared" si="15"/>
        <v>1888000</v>
      </c>
      <c r="G56" s="33"/>
      <c r="H56" s="43">
        <f t="shared" si="19"/>
        <v>2.6315789473684212</v>
      </c>
      <c r="I56" s="139">
        <f t="shared" si="19"/>
        <v>8.5070000000000007E-2</v>
      </c>
      <c r="J56" s="34">
        <f t="shared" si="19"/>
        <v>0.5</v>
      </c>
      <c r="K56" s="34">
        <f t="shared" si="19"/>
        <v>0.14000000000000001</v>
      </c>
      <c r="L56" s="34">
        <f t="shared" si="19"/>
        <v>0.1</v>
      </c>
      <c r="M56" s="83">
        <f t="shared" si="19"/>
        <v>0.82506999999999997</v>
      </c>
      <c r="N56" s="34">
        <f t="shared" si="19"/>
        <v>0.25</v>
      </c>
      <c r="O56" s="33"/>
      <c r="P56" s="32">
        <v>316000</v>
      </c>
      <c r="Q56" s="32">
        <f t="shared" si="7"/>
        <v>7831.9311377777767</v>
      </c>
      <c r="R56" s="32">
        <f t="shared" si="8"/>
        <v>2373.1111111111113</v>
      </c>
      <c r="S56" s="32">
        <f t="shared" si="9"/>
        <v>0</v>
      </c>
      <c r="T56" s="32">
        <f t="shared" si="10"/>
        <v>326205.04224888887</v>
      </c>
      <c r="U56" s="155"/>
      <c r="V56" s="155"/>
      <c r="W56" s="155"/>
      <c r="X56" s="155"/>
      <c r="Y56" s="155"/>
    </row>
    <row r="57" spans="1:29" x14ac:dyDescent="0.25">
      <c r="A57" s="30">
        <f t="shared" si="17"/>
        <v>46</v>
      </c>
      <c r="B57" s="42">
        <f t="shared" si="18"/>
        <v>53158</v>
      </c>
      <c r="C57" s="31">
        <f t="shared" si="1"/>
        <v>53342</v>
      </c>
      <c r="D57" s="30">
        <f t="shared" si="4"/>
        <v>184</v>
      </c>
      <c r="E57" s="44"/>
      <c r="F57" s="32">
        <f t="shared" si="15"/>
        <v>1572000</v>
      </c>
      <c r="G57" s="33"/>
      <c r="H57" s="43">
        <f t="shared" si="19"/>
        <v>2.6315789473684212</v>
      </c>
      <c r="I57" s="139">
        <f t="shared" si="19"/>
        <v>8.5070000000000007E-2</v>
      </c>
      <c r="J57" s="34">
        <f t="shared" si="19"/>
        <v>0.5</v>
      </c>
      <c r="K57" s="34">
        <f t="shared" si="19"/>
        <v>0.14000000000000001</v>
      </c>
      <c r="L57" s="34">
        <f t="shared" si="19"/>
        <v>0.1</v>
      </c>
      <c r="M57" s="83">
        <f t="shared" si="19"/>
        <v>0.82506999999999997</v>
      </c>
      <c r="N57" s="34">
        <f t="shared" si="19"/>
        <v>0.25</v>
      </c>
      <c r="O57" s="33"/>
      <c r="P57" s="32">
        <v>316000</v>
      </c>
      <c r="Q57" s="32">
        <f t="shared" si="7"/>
        <v>6629.1624266666659</v>
      </c>
      <c r="R57" s="32">
        <f t="shared" si="8"/>
        <v>2008.6666666666667</v>
      </c>
      <c r="S57" s="32">
        <f t="shared" si="9"/>
        <v>0</v>
      </c>
      <c r="T57" s="32">
        <f t="shared" si="10"/>
        <v>324637.82909333333</v>
      </c>
      <c r="U57" s="155"/>
      <c r="V57" s="155"/>
      <c r="W57" s="155"/>
      <c r="X57" s="155"/>
      <c r="Y57" s="155"/>
    </row>
    <row r="58" spans="1:29" x14ac:dyDescent="0.25">
      <c r="A58" s="30">
        <f t="shared" si="17"/>
        <v>47</v>
      </c>
      <c r="B58" s="42">
        <f t="shared" si="18"/>
        <v>53342</v>
      </c>
      <c r="C58" s="31">
        <f t="shared" si="1"/>
        <v>53523</v>
      </c>
      <c r="D58" s="30">
        <f t="shared" si="4"/>
        <v>181</v>
      </c>
      <c r="E58" s="44"/>
      <c r="F58" s="32">
        <f t="shared" ref="F58:F61" si="20">E58+F57-P57</f>
        <v>1256000</v>
      </c>
      <c r="G58" s="33"/>
      <c r="H58" s="43">
        <f t="shared" ref="H58:N58" si="21">+H57</f>
        <v>2.6315789473684212</v>
      </c>
      <c r="I58" s="139">
        <f t="shared" si="21"/>
        <v>8.5070000000000007E-2</v>
      </c>
      <c r="J58" s="34">
        <f t="shared" si="21"/>
        <v>0.5</v>
      </c>
      <c r="K58" s="34">
        <f t="shared" si="21"/>
        <v>0.14000000000000001</v>
      </c>
      <c r="L58" s="34">
        <f t="shared" si="21"/>
        <v>0.1</v>
      </c>
      <c r="M58" s="83">
        <f t="shared" si="21"/>
        <v>0.82506999999999997</v>
      </c>
      <c r="N58" s="34">
        <f t="shared" si="21"/>
        <v>0.25</v>
      </c>
      <c r="O58" s="33"/>
      <c r="P58" s="32">
        <v>316000</v>
      </c>
      <c r="Q58" s="32">
        <f t="shared" si="7"/>
        <v>5210.2253755555557</v>
      </c>
      <c r="R58" s="32">
        <f t="shared" si="8"/>
        <v>1578.7222222222222</v>
      </c>
      <c r="S58" s="32">
        <f t="shared" si="9"/>
        <v>0</v>
      </c>
      <c r="T58" s="32">
        <f t="shared" si="10"/>
        <v>322788.94759777782</v>
      </c>
      <c r="U58" s="155"/>
      <c r="V58" s="155"/>
      <c r="W58" s="155"/>
      <c r="X58" s="155"/>
      <c r="Y58" s="155"/>
    </row>
    <row r="59" spans="1:29" x14ac:dyDescent="0.25">
      <c r="A59" s="30">
        <f t="shared" si="17"/>
        <v>48</v>
      </c>
      <c r="B59" s="42">
        <f t="shared" si="18"/>
        <v>53523</v>
      </c>
      <c r="C59" s="31">
        <f t="shared" si="1"/>
        <v>53707</v>
      </c>
      <c r="D59" s="30">
        <f t="shared" si="4"/>
        <v>184</v>
      </c>
      <c r="E59" s="44"/>
      <c r="F59" s="32">
        <f t="shared" si="20"/>
        <v>940000</v>
      </c>
      <c r="G59" s="33"/>
      <c r="H59" s="43">
        <f t="shared" ref="H59:N59" si="22">+H58</f>
        <v>2.6315789473684212</v>
      </c>
      <c r="I59" s="139">
        <f t="shared" si="22"/>
        <v>8.5070000000000007E-2</v>
      </c>
      <c r="J59" s="34">
        <f t="shared" si="22"/>
        <v>0.5</v>
      </c>
      <c r="K59" s="34">
        <f t="shared" si="22"/>
        <v>0.14000000000000001</v>
      </c>
      <c r="L59" s="34">
        <f t="shared" si="22"/>
        <v>0.1</v>
      </c>
      <c r="M59" s="83">
        <f t="shared" si="22"/>
        <v>0.82506999999999997</v>
      </c>
      <c r="N59" s="34">
        <f t="shared" si="22"/>
        <v>0.25</v>
      </c>
      <c r="O59" s="33"/>
      <c r="P59" s="32">
        <v>316000</v>
      </c>
      <c r="Q59" s="32">
        <f t="shared" si="7"/>
        <v>3964.0029777777777</v>
      </c>
      <c r="R59" s="32">
        <f t="shared" si="8"/>
        <v>1201.1111111111111</v>
      </c>
      <c r="S59" s="32">
        <f t="shared" si="9"/>
        <v>0</v>
      </c>
      <c r="T59" s="32">
        <f t="shared" si="10"/>
        <v>321165.11408888892</v>
      </c>
      <c r="U59" s="155"/>
      <c r="V59" s="155"/>
      <c r="W59" s="155"/>
      <c r="X59" s="155"/>
      <c r="Y59" s="155"/>
    </row>
    <row r="60" spans="1:29" x14ac:dyDescent="0.25">
      <c r="A60" s="30">
        <f t="shared" si="17"/>
        <v>49</v>
      </c>
      <c r="B60" s="42">
        <f t="shared" ref="B60:B61" si="23">+C59</f>
        <v>53707</v>
      </c>
      <c r="C60" s="31">
        <f t="shared" ref="C60:C61" si="24">DATE(YEAR(B60),MONTH(B60)+6,DAY(B60))</f>
        <v>53888</v>
      </c>
      <c r="D60" s="30">
        <f t="shared" ref="D60:D61" si="25">+C60-B60</f>
        <v>181</v>
      </c>
      <c r="E60" s="44"/>
      <c r="F60" s="32">
        <f t="shared" si="20"/>
        <v>624000</v>
      </c>
      <c r="G60" s="33"/>
      <c r="H60" s="43">
        <f t="shared" ref="H60:N60" si="26">+H59</f>
        <v>2.6315789473684212</v>
      </c>
      <c r="I60" s="139">
        <f t="shared" si="26"/>
        <v>8.5070000000000007E-2</v>
      </c>
      <c r="J60" s="34">
        <f t="shared" si="26"/>
        <v>0.5</v>
      </c>
      <c r="K60" s="34">
        <f t="shared" si="26"/>
        <v>0.14000000000000001</v>
      </c>
      <c r="L60" s="34">
        <f t="shared" si="26"/>
        <v>0.1</v>
      </c>
      <c r="M60" s="83">
        <f t="shared" si="26"/>
        <v>0.82506999999999997</v>
      </c>
      <c r="N60" s="34">
        <f t="shared" si="26"/>
        <v>0.25</v>
      </c>
      <c r="O60" s="33"/>
      <c r="P60" s="32">
        <v>316000</v>
      </c>
      <c r="Q60" s="32">
        <f t="shared" si="7"/>
        <v>2588.5196133333329</v>
      </c>
      <c r="R60" s="32">
        <f t="shared" si="8"/>
        <v>784.33333333333337</v>
      </c>
      <c r="S60" s="32">
        <f t="shared" si="9"/>
        <v>0</v>
      </c>
      <c r="T60" s="32">
        <f t="shared" si="10"/>
        <v>319372.85294666665</v>
      </c>
      <c r="U60" s="155"/>
      <c r="V60" s="155"/>
      <c r="W60" s="155"/>
      <c r="X60" s="155"/>
      <c r="Y60" s="155"/>
    </row>
    <row r="61" spans="1:29" x14ac:dyDescent="0.25">
      <c r="A61" s="30">
        <f t="shared" si="17"/>
        <v>50</v>
      </c>
      <c r="B61" s="42">
        <f t="shared" si="23"/>
        <v>53888</v>
      </c>
      <c r="C61" s="31">
        <f t="shared" si="24"/>
        <v>54072</v>
      </c>
      <c r="D61" s="30">
        <f t="shared" si="25"/>
        <v>184</v>
      </c>
      <c r="E61" s="44"/>
      <c r="F61" s="32">
        <f t="shared" si="20"/>
        <v>308000</v>
      </c>
      <c r="G61" s="33"/>
      <c r="H61" s="43">
        <f t="shared" ref="H61:N61" si="27">+H60</f>
        <v>2.6315789473684212</v>
      </c>
      <c r="I61" s="139">
        <f t="shared" si="27"/>
        <v>8.5070000000000007E-2</v>
      </c>
      <c r="J61" s="34">
        <f t="shared" si="27"/>
        <v>0.5</v>
      </c>
      <c r="K61" s="34">
        <f t="shared" si="27"/>
        <v>0.14000000000000001</v>
      </c>
      <c r="L61" s="34">
        <f t="shared" si="27"/>
        <v>0.1</v>
      </c>
      <c r="M61" s="83">
        <f t="shared" si="27"/>
        <v>0.82506999999999997</v>
      </c>
      <c r="N61" s="34">
        <f t="shared" si="27"/>
        <v>0.25</v>
      </c>
      <c r="O61" s="33"/>
      <c r="P61" s="32">
        <v>308000</v>
      </c>
      <c r="Q61" s="32">
        <f t="shared" si="7"/>
        <v>1298.8435288888888</v>
      </c>
      <c r="R61" s="32">
        <f t="shared" si="8"/>
        <v>393.55555555555554</v>
      </c>
      <c r="S61" s="32">
        <f t="shared" si="9"/>
        <v>0</v>
      </c>
      <c r="T61" s="32">
        <f t="shared" si="10"/>
        <v>309692.39908444445</v>
      </c>
      <c r="U61" s="155"/>
      <c r="V61" s="155"/>
      <c r="W61" s="155"/>
      <c r="X61" s="155">
        <f>+P61</f>
        <v>308000</v>
      </c>
      <c r="Y61" s="163">
        <f>+X61*$Z$10/10^6</f>
        <v>7148.68</v>
      </c>
    </row>
    <row r="62" spans="1:29" x14ac:dyDescent="0.25">
      <c r="A62" s="45" t="s">
        <v>68</v>
      </c>
      <c r="B62" s="46"/>
      <c r="C62" s="46"/>
      <c r="D62" s="47"/>
      <c r="E62" s="48">
        <f>SUM(E11:E59)</f>
        <v>12000000</v>
      </c>
      <c r="F62" s="47"/>
      <c r="G62" s="46"/>
      <c r="H62" s="49"/>
      <c r="I62" s="47"/>
      <c r="J62" s="50"/>
      <c r="K62" s="50"/>
      <c r="L62" s="50"/>
      <c r="M62" s="50"/>
      <c r="N62" s="50"/>
      <c r="O62" s="46"/>
      <c r="P62" s="48">
        <f>SUM(P11:P61)</f>
        <v>12000000</v>
      </c>
      <c r="Q62" s="48">
        <f t="shared" ref="Q62:S62" si="28">SUM(Q11:Q61)</f>
        <v>1492024.1435890412</v>
      </c>
      <c r="R62" s="48">
        <f t="shared" si="28"/>
        <v>452090.16919444449</v>
      </c>
      <c r="S62" s="48">
        <f t="shared" si="28"/>
        <v>16238.531816666666</v>
      </c>
      <c r="T62" s="48">
        <f>SUM(T11:T61)</f>
        <v>13960352.844600152</v>
      </c>
      <c r="U62" s="156"/>
      <c r="V62" s="156"/>
      <c r="W62" s="156"/>
      <c r="X62" s="156">
        <f>+T62</f>
        <v>13960352.844600152</v>
      </c>
      <c r="Y62" s="163">
        <f>+X62*$Z$10/10^6</f>
        <v>324019.78952316957</v>
      </c>
    </row>
    <row r="63" spans="1:29" ht="16.149999999999999" customHeight="1" x14ac:dyDescent="0.25">
      <c r="X63" s="21">
        <f>+Q62+R62+S62</f>
        <v>1960352.8446001525</v>
      </c>
      <c r="Y63" s="163">
        <f>+X63*$Z$10/10^6</f>
        <v>45499.789523169544</v>
      </c>
    </row>
    <row r="64" spans="1:29" ht="16.149999999999999" customHeight="1" x14ac:dyDescent="0.25">
      <c r="B64" s="16" t="s">
        <v>166</v>
      </c>
      <c r="Z64" s="91">
        <f>+T62-Z62</f>
        <v>13960352.844600152</v>
      </c>
      <c r="AC64" s="21">
        <f>+R62+S62</f>
        <v>468328.70101111114</v>
      </c>
    </row>
    <row r="65" spans="2:26" ht="16.149999999999999" customHeight="1" x14ac:dyDescent="0.25">
      <c r="B65" s="75" t="s">
        <v>167</v>
      </c>
      <c r="C65" s="76"/>
      <c r="D65" s="76"/>
      <c r="E65" s="77"/>
      <c r="F65" s="78"/>
      <c r="G65" s="78"/>
      <c r="H65" s="75"/>
      <c r="I65" s="76"/>
      <c r="J65" s="76"/>
      <c r="K65" s="76"/>
      <c r="L65" s="76"/>
      <c r="M65" s="76"/>
      <c r="N65" s="79"/>
      <c r="O65" s="76"/>
      <c r="P65" s="79"/>
      <c r="Q65" s="79"/>
      <c r="R65" s="79"/>
      <c r="Z65" s="91">
        <f>+T62-P62-Q62-R62-S62</f>
        <v>-1.2732925824820995E-10</v>
      </c>
    </row>
    <row r="66" spans="2:26" ht="16.149999999999999" customHeight="1" x14ac:dyDescent="0.25">
      <c r="B66" s="197" t="s">
        <v>168</v>
      </c>
      <c r="C66" s="197"/>
      <c r="D66" s="197"/>
      <c r="E66" s="197"/>
      <c r="F66" s="197"/>
      <c r="G66" s="197"/>
      <c r="H66" s="197"/>
      <c r="I66" s="197"/>
      <c r="J66" s="197"/>
      <c r="K66" s="197"/>
      <c r="L66" s="197"/>
      <c r="M66" s="197"/>
      <c r="N66" s="197"/>
      <c r="O66" s="197"/>
      <c r="P66" s="197"/>
      <c r="Q66" s="152"/>
      <c r="R66" s="152"/>
    </row>
    <row r="67" spans="2:26" ht="16.149999999999999" customHeight="1" x14ac:dyDescent="0.25">
      <c r="B67" s="75" t="s">
        <v>169</v>
      </c>
      <c r="C67" s="76"/>
      <c r="D67" s="76"/>
      <c r="E67" s="77"/>
      <c r="F67" s="78"/>
      <c r="G67" s="78"/>
      <c r="H67" s="75"/>
      <c r="I67" s="80"/>
      <c r="J67" s="76"/>
      <c r="K67" s="76"/>
      <c r="L67" s="76"/>
      <c r="M67" s="76"/>
      <c r="N67" s="79"/>
      <c r="O67" s="76"/>
      <c r="P67" s="79"/>
      <c r="Q67" s="79"/>
      <c r="R67" s="79"/>
    </row>
    <row r="68" spans="2:26" ht="16.149999999999999" customHeight="1" x14ac:dyDescent="0.25">
      <c r="B68" s="75" t="s">
        <v>170</v>
      </c>
      <c r="C68" s="76"/>
      <c r="D68" s="81"/>
      <c r="E68" s="77"/>
      <c r="F68" s="78"/>
      <c r="G68" s="78"/>
      <c r="H68" s="75"/>
      <c r="I68" s="76"/>
      <c r="J68" s="76"/>
      <c r="K68" s="76"/>
      <c r="L68" s="76"/>
      <c r="M68" s="76"/>
      <c r="N68" s="79"/>
      <c r="O68" s="76"/>
      <c r="P68" s="79"/>
      <c r="Q68" s="79"/>
      <c r="R68" s="79"/>
    </row>
    <row r="69" spans="2:26" ht="16.149999999999999" customHeight="1" x14ac:dyDescent="0.25">
      <c r="B69" s="75" t="s">
        <v>246</v>
      </c>
      <c r="C69" s="76"/>
      <c r="D69" s="76"/>
      <c r="E69" s="77"/>
      <c r="F69" s="78"/>
      <c r="G69" s="78"/>
      <c r="H69" s="82"/>
      <c r="I69" s="76"/>
      <c r="J69" s="76"/>
      <c r="K69" s="76"/>
      <c r="L69" s="76"/>
      <c r="M69" s="76"/>
      <c r="N69" s="79"/>
      <c r="O69" s="76"/>
      <c r="P69" s="79"/>
      <c r="Q69" s="79"/>
      <c r="R69" s="79"/>
    </row>
    <row r="70" spans="2:26" ht="16.149999999999999" customHeight="1" x14ac:dyDescent="0.25">
      <c r="B70" s="75" t="s">
        <v>172</v>
      </c>
    </row>
    <row r="71" spans="2:26" ht="16.149999999999999" customHeight="1" x14ac:dyDescent="0.25">
      <c r="R71" s="21">
        <f>R62+S62</f>
        <v>468328.70101111114</v>
      </c>
    </row>
    <row r="74" spans="2:26" x14ac:dyDescent="0.25">
      <c r="S74" s="21"/>
      <c r="T74" s="21"/>
      <c r="U74" s="21"/>
      <c r="V74" s="21"/>
      <c r="W74" s="21"/>
      <c r="X74" s="21"/>
      <c r="Y74" s="21"/>
    </row>
    <row r="75" spans="2:26" x14ac:dyDescent="0.25">
      <c r="P75" s="84"/>
      <c r="Q75" s="84"/>
      <c r="R75" s="84"/>
      <c r="S75" s="85"/>
    </row>
  </sheetData>
  <mergeCells count="7">
    <mergeCell ref="B66:P66"/>
    <mergeCell ref="V10:W10"/>
    <mergeCell ref="X10:Y10"/>
    <mergeCell ref="A3:T3"/>
    <mergeCell ref="A4:T4"/>
    <mergeCell ref="A5:T5"/>
    <mergeCell ref="A6:T6"/>
  </mergeCells>
  <printOptions horizontalCentered="1"/>
  <pageMargins left="0.47244094488188981" right="0.47244094488188981" top="0.78740157480314965" bottom="0.59055118110236227" header="0.31496062992125984" footer="0.31496062992125984"/>
  <pageSetup paperSize="9" scale="63" fitToHeight="100"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7:H32"/>
  <sheetViews>
    <sheetView workbookViewId="0">
      <selection activeCell="J32" sqref="J32"/>
    </sheetView>
  </sheetViews>
  <sheetFormatPr defaultRowHeight="12.75" x14ac:dyDescent="0.2"/>
  <cols>
    <col min="8" max="8" width="16.5703125" bestFit="1" customWidth="1"/>
  </cols>
  <sheetData>
    <row r="27" spans="8:8" x14ac:dyDescent="0.2">
      <c r="H27" s="141">
        <v>9103653000</v>
      </c>
    </row>
    <row r="28" spans="8:8" x14ac:dyDescent="0.2">
      <c r="H28" s="141">
        <v>94707555</v>
      </c>
    </row>
    <row r="29" spans="8:8" x14ac:dyDescent="0.2">
      <c r="H29" s="142">
        <f>+H27-H28</f>
        <v>9008945445</v>
      </c>
    </row>
    <row r="30" spans="8:8" x14ac:dyDescent="0.2">
      <c r="H30" s="142">
        <v>8861220000</v>
      </c>
    </row>
    <row r="31" spans="8:8" x14ac:dyDescent="0.2">
      <c r="H31" s="142">
        <v>94707555</v>
      </c>
    </row>
    <row r="32" spans="8:8" x14ac:dyDescent="0.2">
      <c r="H32" s="143">
        <f>+H30-H31</f>
        <v>8766512445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PL 01</vt:lpstr>
      <vt:lpstr>PL 02</vt:lpstr>
      <vt:lpstr>PL 03 Trinh STC</vt:lpstr>
      <vt:lpstr>PA Rut von</vt:lpstr>
      <vt:lpstr>PL 01 STC</vt:lpstr>
      <vt:lpstr>PL 02 -STC</vt:lpstr>
      <vt:lpstr>PL 03 - ADB tha noi In</vt:lpstr>
      <vt:lpstr>Sheet1</vt:lpstr>
      <vt:lpstr>PL 03 - ADB co dinh In</vt:lpstr>
      <vt:lpstr>Sheet2</vt:lpstr>
      <vt:lpstr>Sheet2 (2)</vt:lpstr>
      <vt:lpstr>Sheet4</vt:lpstr>
      <vt:lpstr>'PL 01'!Print_Area</vt:lpstr>
      <vt:lpstr>'PL 01 STC'!Print_Area</vt:lpstr>
      <vt:lpstr>'PL 02'!Print_Area</vt:lpstr>
      <vt:lpstr>'PL 02 -STC'!Print_Area</vt:lpstr>
      <vt:lpstr>'PL 03 - ADB co dinh In'!Print_Area</vt:lpstr>
      <vt:lpstr>'PL 03 - ADB tha noi In'!Print_Area</vt:lpstr>
      <vt:lpstr>'PL 03 Trinh STC'!Print_Area</vt:lpstr>
      <vt:lpstr>'PL 01 STC'!Print_Titles</vt:lpstr>
      <vt:lpstr>'PL 03 - ADB co dinh In'!Print_Titles</vt:lpstr>
      <vt:lpstr>'PL 03 - ADB tha noi In'!Print_Titles</vt:lpstr>
      <vt:lpstr>'PL 03 Trinh STC'!Print_Titles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qlns</dc:creator>
  <cp:lastModifiedBy>Windows User</cp:lastModifiedBy>
  <cp:lastPrinted>2022-09-12T06:58:10Z</cp:lastPrinted>
  <dcterms:created xsi:type="dcterms:W3CDTF">2022-03-02T00:59:49Z</dcterms:created>
  <dcterms:modified xsi:type="dcterms:W3CDTF">2022-09-12T07:26:36Z</dcterms:modified>
</cp:coreProperties>
</file>